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iadc01\home$\ajerke\Desktop\Out of State Docs\"/>
    </mc:Choice>
  </mc:AlternateContent>
  <bookViews>
    <workbookView xWindow="0" yWindow="0" windowWidth="23040" windowHeight="9405" firstSheet="2" activeTab="2"/>
  </bookViews>
  <sheets>
    <sheet name="NIA" sheetId="1" state="hidden" r:id="rId1"/>
    <sheet name="Rate Sheet" sheetId="2" state="hidden" r:id="rId2"/>
    <sheet name="Rate Sheet." sheetId="3" r:id="rId3"/>
  </sheets>
  <definedNames>
    <definedName name="_xlnm.Print_Area" localSheetId="1">'Rate Sheet'!$A$1:$I$66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8" i="1"/>
  <c r="H19" i="1"/>
  <c r="J111" i="1"/>
  <c r="J112" i="1"/>
  <c r="J113" i="1"/>
  <c r="J115" i="1"/>
  <c r="J116" i="1"/>
  <c r="H61" i="2"/>
  <c r="K61" i="2"/>
  <c r="H61" i="3"/>
  <c r="J107" i="1"/>
  <c r="H56" i="2"/>
  <c r="K56" i="2"/>
  <c r="H56" i="3"/>
  <c r="J108" i="1"/>
  <c r="H57" i="2"/>
  <c r="K57" i="2"/>
  <c r="H57" i="3"/>
  <c r="J109" i="1"/>
  <c r="H58" i="2"/>
  <c r="K58" i="2"/>
  <c r="H58" i="3"/>
  <c r="J110" i="1"/>
  <c r="H59" i="2"/>
  <c r="K59" i="2"/>
  <c r="H59" i="3"/>
  <c r="J114" i="1"/>
  <c r="H60" i="2"/>
  <c r="K60" i="2"/>
  <c r="H60" i="3"/>
  <c r="J106" i="1"/>
  <c r="H55" i="2"/>
  <c r="K55" i="2"/>
  <c r="H55" i="3"/>
  <c r="H103" i="1"/>
  <c r="J103" i="1"/>
  <c r="H49" i="2"/>
  <c r="K49" i="2"/>
  <c r="H49" i="3"/>
  <c r="H131" i="1"/>
  <c r="H132" i="1"/>
  <c r="H134" i="1"/>
  <c r="H136" i="1"/>
  <c r="J136" i="1"/>
  <c r="H137" i="1"/>
  <c r="J137" i="1"/>
  <c r="H138" i="1"/>
  <c r="J138" i="1"/>
  <c r="H43" i="2"/>
  <c r="K43" i="2"/>
  <c r="H43" i="3"/>
  <c r="J129" i="1"/>
  <c r="H42" i="2"/>
  <c r="K42" i="2"/>
  <c r="H42" i="3"/>
  <c r="H94" i="1"/>
  <c r="J94" i="1"/>
  <c r="H37" i="2"/>
  <c r="K37" i="2"/>
  <c r="H37" i="3"/>
  <c r="J86" i="1"/>
  <c r="J87" i="1"/>
  <c r="H88" i="1"/>
  <c r="J88" i="1"/>
  <c r="H34" i="2"/>
  <c r="K34" i="2"/>
  <c r="H34" i="3"/>
  <c r="J89" i="1"/>
  <c r="H35" i="2"/>
  <c r="K35" i="2"/>
  <c r="H35" i="3"/>
  <c r="J77" i="1"/>
  <c r="J78" i="1"/>
  <c r="J79" i="1"/>
  <c r="H33" i="2"/>
  <c r="K33" i="2"/>
  <c r="H33" i="3"/>
  <c r="H90" i="1"/>
  <c r="J90" i="1"/>
  <c r="H36" i="2"/>
  <c r="K36" i="2"/>
  <c r="H36" i="3"/>
  <c r="I38" i="3"/>
  <c r="J65" i="1"/>
  <c r="H23" i="2"/>
  <c r="K23" i="2"/>
  <c r="H23" i="3"/>
  <c r="J66" i="1"/>
  <c r="H24" i="2"/>
  <c r="K24" i="2"/>
  <c r="H24" i="3"/>
  <c r="J67" i="1"/>
  <c r="H25" i="2"/>
  <c r="K25" i="2"/>
  <c r="H25" i="3"/>
  <c r="J68" i="1"/>
  <c r="H26" i="2"/>
  <c r="K26" i="2"/>
  <c r="H26" i="3"/>
  <c r="J70" i="1"/>
  <c r="J71" i="1"/>
  <c r="J72" i="1"/>
  <c r="J73" i="1"/>
  <c r="H27" i="2"/>
  <c r="K27" i="2"/>
  <c r="H27" i="3"/>
  <c r="J64" i="1"/>
  <c r="H22" i="2"/>
  <c r="K22" i="2"/>
  <c r="H22" i="3"/>
  <c r="J53" i="1"/>
  <c r="H17" i="2"/>
  <c r="K17" i="2"/>
  <c r="H17" i="3"/>
  <c r="J51" i="1"/>
  <c r="H12" i="2"/>
  <c r="K12" i="2"/>
  <c r="H12" i="3"/>
  <c r="J52" i="1"/>
  <c r="H13" i="2"/>
  <c r="K13" i="2"/>
  <c r="H13" i="3"/>
  <c r="J55" i="1"/>
  <c r="H14" i="2"/>
  <c r="K14" i="2"/>
  <c r="H14" i="3"/>
  <c r="J56" i="1"/>
  <c r="H15" i="2"/>
  <c r="K15" i="2"/>
  <c r="H15" i="3"/>
  <c r="J50" i="1"/>
  <c r="H11" i="2"/>
  <c r="K11" i="2"/>
  <c r="H11" i="3"/>
  <c r="J58" i="1"/>
  <c r="H16" i="2"/>
  <c r="K16" i="2"/>
  <c r="H16" i="3"/>
  <c r="I18" i="3"/>
  <c r="I61" i="3"/>
  <c r="I51" i="3"/>
  <c r="I45" i="3"/>
  <c r="I29" i="3"/>
  <c r="J59" i="1"/>
  <c r="H18" i="3"/>
  <c r="H18" i="2"/>
  <c r="K18" i="2"/>
  <c r="K19" i="2"/>
  <c r="K20" i="2"/>
  <c r="K21" i="2"/>
  <c r="K28" i="2"/>
  <c r="K29" i="2"/>
  <c r="K30" i="2"/>
  <c r="K31" i="2"/>
  <c r="K32" i="2"/>
  <c r="K38" i="2"/>
  <c r="K39" i="2"/>
  <c r="K40" i="2"/>
  <c r="K41" i="2"/>
  <c r="K44" i="2"/>
  <c r="K45" i="2"/>
  <c r="K46" i="2"/>
  <c r="K47" i="2"/>
  <c r="K48" i="2"/>
  <c r="K50" i="2"/>
  <c r="K51" i="2"/>
  <c r="K52" i="2"/>
  <c r="K53" i="2"/>
  <c r="K54" i="2"/>
  <c r="K62" i="2"/>
  <c r="K63" i="2"/>
  <c r="I18" i="2"/>
  <c r="I29" i="2"/>
  <c r="I51" i="2"/>
  <c r="I38" i="2"/>
  <c r="I61" i="2"/>
  <c r="I45" i="2"/>
  <c r="I64" i="2"/>
  <c r="H64" i="2"/>
  <c r="K64" i="2"/>
  <c r="I64" i="3"/>
  <c r="H64" i="3"/>
  <c r="J135" i="1"/>
  <c r="J133" i="1"/>
  <c r="J134" i="1"/>
  <c r="J132" i="1"/>
  <c r="J131" i="1"/>
  <c r="H139" i="1"/>
  <c r="J139" i="1"/>
  <c r="H9" i="1"/>
  <c r="H10" i="1"/>
  <c r="H37" i="1"/>
  <c r="H42" i="1"/>
  <c r="H30" i="1"/>
  <c r="H23" i="1"/>
  <c r="H22" i="1"/>
  <c r="H117" i="1"/>
  <c r="H95" i="1"/>
  <c r="H74" i="1"/>
  <c r="H61" i="1"/>
  <c r="H119" i="1"/>
  <c r="H25" i="1"/>
  <c r="H41" i="1"/>
  <c r="H44" i="1"/>
  <c r="H121" i="1"/>
  <c r="H124" i="1"/>
  <c r="H11" i="1"/>
  <c r="H13" i="1"/>
  <c r="J54" i="1"/>
  <c r="J57" i="1"/>
  <c r="J60" i="1"/>
  <c r="J61" i="1"/>
  <c r="J74" i="1"/>
  <c r="J81" i="1"/>
  <c r="J82" i="1"/>
  <c r="J83" i="1"/>
  <c r="J84" i="1"/>
  <c r="J85" i="1"/>
  <c r="J91" i="1"/>
  <c r="J92" i="1"/>
  <c r="J93" i="1"/>
  <c r="J95" i="1"/>
  <c r="J98" i="1"/>
  <c r="J99" i="1"/>
  <c r="J100" i="1"/>
  <c r="J101" i="1"/>
  <c r="J102" i="1"/>
  <c r="J117" i="1"/>
  <c r="J119" i="1"/>
</calcChain>
</file>

<file path=xl/sharedStrings.xml><?xml version="1.0" encoding="utf-8"?>
<sst xmlns="http://schemas.openxmlformats.org/spreadsheetml/2006/main" count="237" uniqueCount="124">
  <si>
    <t>FY18</t>
  </si>
  <si>
    <t>Revenue</t>
  </si>
  <si>
    <t>Census</t>
  </si>
  <si>
    <t>Insurance</t>
  </si>
  <si>
    <t>Total Census</t>
  </si>
  <si>
    <t xml:space="preserve"> Capacity </t>
  </si>
  <si>
    <t xml:space="preserve"> Occupancy % </t>
  </si>
  <si>
    <t># of Days</t>
  </si>
  <si>
    <t>Student Days</t>
  </si>
  <si>
    <t>Billing Adjustments</t>
  </si>
  <si>
    <t>Total Residential Treatment Revenue</t>
  </si>
  <si>
    <t>Revenue Dollars</t>
  </si>
  <si>
    <t>Residential Trmt Center</t>
  </si>
  <si>
    <t>Revenue Reduction</t>
  </si>
  <si>
    <t>Total Revenue</t>
  </si>
  <si>
    <t>Program Expenses</t>
  </si>
  <si>
    <t>Administration</t>
  </si>
  <si>
    <t>Office Supplies</t>
  </si>
  <si>
    <t>Postage &amp; Shipping</t>
  </si>
  <si>
    <t>Professional Fees</t>
  </si>
  <si>
    <t>Dues &amp; Subscriptions</t>
  </si>
  <si>
    <t>Telephone</t>
  </si>
  <si>
    <t>Administration Travel</t>
  </si>
  <si>
    <t>Board Expense</t>
  </si>
  <si>
    <t>Taxes &amp; Licenses</t>
  </si>
  <si>
    <t>Community Relations</t>
  </si>
  <si>
    <t>Other Administration</t>
  </si>
  <si>
    <t>Total Administration</t>
  </si>
  <si>
    <t>Facilities and Equipment</t>
  </si>
  <si>
    <t>Maintenance/Improvements</t>
  </si>
  <si>
    <t>Rent / Mortgage</t>
  </si>
  <si>
    <t>Support Services</t>
  </si>
  <si>
    <t>Utilities</t>
  </si>
  <si>
    <t>Office Equipment</t>
  </si>
  <si>
    <t>Vehicles</t>
  </si>
  <si>
    <t>Lease / Debt Service / Allowance</t>
  </si>
  <si>
    <t>Gas and oil</t>
  </si>
  <si>
    <t>Maintenance</t>
  </si>
  <si>
    <t>Other</t>
  </si>
  <si>
    <t>Total Facilities and Equipment</t>
  </si>
  <si>
    <t>Personnel</t>
  </si>
  <si>
    <t>Payroll</t>
  </si>
  <si>
    <t>Accounting Spread</t>
  </si>
  <si>
    <t>Overtime</t>
  </si>
  <si>
    <t>Benefits</t>
  </si>
  <si>
    <t>Premium</t>
  </si>
  <si>
    <t>Employee Contribution</t>
  </si>
  <si>
    <t>401(k) &amp; Other</t>
  </si>
  <si>
    <t>Health Claims</t>
  </si>
  <si>
    <t>Health Claims Accrual</t>
  </si>
  <si>
    <t>Total Benefits</t>
  </si>
  <si>
    <t>Workers Comp</t>
  </si>
  <si>
    <t>Payroll Taxes</t>
  </si>
  <si>
    <t>Training &amp; Development</t>
  </si>
  <si>
    <t>Contract Services</t>
  </si>
  <si>
    <t>Foster</t>
  </si>
  <si>
    <t>Recruiting</t>
  </si>
  <si>
    <t>Bonus</t>
  </si>
  <si>
    <t>Other Payroll</t>
  </si>
  <si>
    <t>Total Personnel</t>
  </si>
  <si>
    <t>Customers</t>
  </si>
  <si>
    <t>Travel</t>
  </si>
  <si>
    <t>Marketing Materials</t>
  </si>
  <si>
    <t>Sales Conferences</t>
  </si>
  <si>
    <t>Regional Marketing</t>
  </si>
  <si>
    <t>Total Customers</t>
  </si>
  <si>
    <t>Students</t>
  </si>
  <si>
    <t>Clothing</t>
  </si>
  <si>
    <t>Food</t>
  </si>
  <si>
    <t xml:space="preserve">Medical </t>
  </si>
  <si>
    <t>Student Activities</t>
  </si>
  <si>
    <t>Student Education</t>
  </si>
  <si>
    <t>Reimbursables</t>
  </si>
  <si>
    <t>Student Vocation Program</t>
  </si>
  <si>
    <t>Youth Transport</t>
  </si>
  <si>
    <t>Operating Supplies</t>
  </si>
  <si>
    <t>Livestock</t>
  </si>
  <si>
    <t>Other / Personal Care</t>
  </si>
  <si>
    <t>Total Student Welfare</t>
  </si>
  <si>
    <t>Total Program Expenses</t>
  </si>
  <si>
    <t>EBITDA</t>
  </si>
  <si>
    <t>Capital Expenditures</t>
  </si>
  <si>
    <t>Controllable Cash Flow</t>
  </si>
  <si>
    <t>Budget</t>
  </si>
  <si>
    <t>Costs</t>
  </si>
  <si>
    <t>Per SD</t>
  </si>
  <si>
    <t>Sequel Youth and Family Services</t>
  </si>
  <si>
    <t>Administrative Costs</t>
  </si>
  <si>
    <t>Amount per Month</t>
  </si>
  <si>
    <t xml:space="preserve">Insurance </t>
  </si>
  <si>
    <t>Administrative Travel</t>
  </si>
  <si>
    <t>Other:</t>
  </si>
  <si>
    <t>Facilities and Equipment Costs</t>
  </si>
  <si>
    <t>Rent/Mortgage</t>
  </si>
  <si>
    <t>Personnel Costs</t>
  </si>
  <si>
    <t>Benefits/Workers Comp/Taxes</t>
  </si>
  <si>
    <t>Training</t>
  </si>
  <si>
    <t>Customer Costs</t>
  </si>
  <si>
    <t>Travel/Marketing Costs</t>
  </si>
  <si>
    <t>Other (specify):</t>
  </si>
  <si>
    <t>Student Costs</t>
  </si>
  <si>
    <t>Total Students</t>
  </si>
  <si>
    <t>Medical</t>
  </si>
  <si>
    <t>Activities</t>
  </si>
  <si>
    <t>Education</t>
  </si>
  <si>
    <t>Daily Rate</t>
  </si>
  <si>
    <t>Monthly Total</t>
  </si>
  <si>
    <t xml:space="preserve">Agency Name: </t>
  </si>
  <si>
    <t>North Illinois Academy</t>
  </si>
  <si>
    <t xml:space="preserve">Agency Address: </t>
  </si>
  <si>
    <t>Aurora, IL</t>
  </si>
  <si>
    <t>Education Revenue</t>
  </si>
  <si>
    <t>Regular</t>
  </si>
  <si>
    <t xml:space="preserve"> 1:1</t>
  </si>
  <si>
    <t>Residential Treatment</t>
  </si>
  <si>
    <t>One to One</t>
  </si>
  <si>
    <t>Total School Census</t>
  </si>
  <si>
    <t># of School Days</t>
  </si>
  <si>
    <t>Total Education Revenue</t>
  </si>
  <si>
    <t>Personnel - 1:1</t>
  </si>
  <si>
    <t>Total Personnel 1:1</t>
  </si>
  <si>
    <t>Payroll (additional 4.2 FTE per student)</t>
  </si>
  <si>
    <t>Additional Personnel Costs - 1:1</t>
  </si>
  <si>
    <t>998 Corporate Blvd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</si>
</sst>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.00_);_(* \(#,##0.00\);_(* &quot;-&quot;?_);_(@_)"/>
    <numFmt numFmtId="166" formatCode="0.0%"/>
    <numFmt numFmtId="167" formatCode="_(* #,##0_);_(* \(#,##0\);_(* &quot;-&quot;??_);_(@_)"/>
    <numFmt numFmtId="168" formatCode="[$-409]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3" tint="0.3999755851924192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/>
    <xf numFmtId="44" fontId="5" fillId="0" borderId="0" applyFont="0" applyFill="0" applyBorder="0" applyAlignment="0" applyProtection="0"/>
  </cellStyleXfs>
  <cellXfs count="87">
    <xf numFmtId="0" fontId="0" fillId="0" borderId="0" xfId="0"/>
    <xf numFmtId="41" fontId="2" fillId="0" borderId="0" xfId="0" applyNumberFormat="1" applyFont="1" applyFill="1"/>
    <xf numFmtId="41" fontId="0" fillId="0" borderId="0" xfId="0" applyNumberFormat="1" applyFont="1" applyFill="1"/>
    <xf numFmtId="164" fontId="2" fillId="0" borderId="0" xfId="0" applyNumberFormat="1" applyFont="1" applyFill="1"/>
    <xf numFmtId="0" fontId="0" fillId="0" borderId="0" xfId="0" applyFill="1"/>
    <xf numFmtId="41" fontId="3" fillId="0" borderId="0" xfId="0" applyNumberFormat="1" applyFont="1" applyFill="1"/>
    <xf numFmtId="41" fontId="2" fillId="0" borderId="0" xfId="0" applyNumberFormat="1" applyFont="1" applyFill="1" applyAlignment="1">
      <alignment horizontal="center"/>
    </xf>
    <xf numFmtId="41" fontId="2" fillId="0" borderId="1" xfId="0" applyNumberFormat="1" applyFont="1" applyFill="1" applyBorder="1" applyAlignment="1">
      <alignment horizontal="center"/>
    </xf>
    <xf numFmtId="41" fontId="2" fillId="0" borderId="2" xfId="0" applyNumberFormat="1" applyFont="1" applyFill="1" applyBorder="1" applyAlignment="1">
      <alignment horizontal="center"/>
    </xf>
    <xf numFmtId="41" fontId="2" fillId="0" borderId="3" xfId="0" applyNumberFormat="1" applyFont="1" applyFill="1" applyBorder="1"/>
    <xf numFmtId="41" fontId="2" fillId="0" borderId="4" xfId="0" applyNumberFormat="1" applyFont="1" applyFill="1" applyBorder="1"/>
    <xf numFmtId="41" fontId="3" fillId="0" borderId="4" xfId="0" applyNumberFormat="1" applyFont="1" applyFill="1" applyBorder="1"/>
    <xf numFmtId="41" fontId="3" fillId="0" borderId="5" xfId="0" applyNumberFormat="1" applyFont="1" applyFill="1" applyBorder="1"/>
    <xf numFmtId="0" fontId="0" fillId="0" borderId="5" xfId="0" applyFill="1" applyBorder="1"/>
    <xf numFmtId="41" fontId="3" fillId="0" borderId="3" xfId="0" applyNumberFormat="1" applyFont="1" applyFill="1" applyBorder="1"/>
    <xf numFmtId="43" fontId="3" fillId="0" borderId="5" xfId="0" applyNumberFormat="1" applyFont="1" applyFill="1" applyBorder="1"/>
    <xf numFmtId="165" fontId="2" fillId="0" borderId="5" xfId="0" applyNumberFormat="1" applyFont="1" applyFill="1" applyBorder="1"/>
    <xf numFmtId="166" fontId="3" fillId="0" borderId="5" xfId="0" applyNumberFormat="1" applyFont="1" applyFill="1" applyBorder="1"/>
    <xf numFmtId="41" fontId="2" fillId="0" borderId="5" xfId="0" applyNumberFormat="1" applyFont="1" applyFill="1" applyBorder="1"/>
    <xf numFmtId="167" fontId="3" fillId="0" borderId="5" xfId="0" applyNumberFormat="1" applyFont="1" applyFill="1" applyBorder="1"/>
    <xf numFmtId="41" fontId="2" fillId="0" borderId="7" xfId="0" applyNumberFormat="1" applyFont="1" applyFill="1" applyBorder="1"/>
    <xf numFmtId="41" fontId="2" fillId="0" borderId="8" xfId="0" applyNumberFormat="1" applyFont="1" applyFill="1" applyBorder="1"/>
    <xf numFmtId="41" fontId="3" fillId="0" borderId="0" xfId="0" applyNumberFormat="1" applyFont="1" applyFill="1" applyBorder="1"/>
    <xf numFmtId="41" fontId="3" fillId="0" borderId="7" xfId="0" applyNumberFormat="1" applyFont="1" applyFill="1" applyBorder="1"/>
    <xf numFmtId="41" fontId="3" fillId="0" borderId="8" xfId="0" applyNumberFormat="1" applyFont="1" applyFill="1" applyBorder="1"/>
    <xf numFmtId="167" fontId="3" fillId="0" borderId="8" xfId="0" applyNumberFormat="1" applyFont="1" applyFill="1" applyBorder="1"/>
    <xf numFmtId="167" fontId="2" fillId="0" borderId="5" xfId="0" applyNumberFormat="1" applyFont="1" applyFill="1" applyBorder="1"/>
    <xf numFmtId="41" fontId="4" fillId="0" borderId="5" xfId="0" applyNumberFormat="1" applyFont="1" applyFill="1" applyBorder="1"/>
    <xf numFmtId="43" fontId="0" fillId="0" borderId="5" xfId="0" applyNumberFormat="1" applyFont="1" applyFill="1" applyBorder="1"/>
    <xf numFmtId="0" fontId="0" fillId="0" borderId="0" xfId="0" applyFill="1" applyBorder="1"/>
    <xf numFmtId="41" fontId="0" fillId="0" borderId="6" xfId="0" applyNumberFormat="1" applyFont="1" applyFill="1" applyBorder="1"/>
    <xf numFmtId="41" fontId="2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/>
    <xf numFmtId="43" fontId="2" fillId="0" borderId="0" xfId="0" applyNumberFormat="1" applyFont="1" applyFill="1" applyBorder="1"/>
    <xf numFmtId="166" fontId="3" fillId="0" borderId="0" xfId="0" applyNumberFormat="1" applyFont="1" applyFill="1" applyBorder="1"/>
    <xf numFmtId="41" fontId="2" fillId="0" borderId="0" xfId="0" applyNumberFormat="1" applyFont="1" applyFill="1" applyBorder="1"/>
    <xf numFmtId="167" fontId="3" fillId="0" borderId="0" xfId="0" applyNumberFormat="1" applyFont="1" applyFill="1" applyBorder="1"/>
    <xf numFmtId="167" fontId="2" fillId="0" borderId="0" xfId="0" applyNumberFormat="1" applyFont="1" applyFill="1" applyBorder="1"/>
    <xf numFmtId="41" fontId="4" fillId="0" borderId="0" xfId="0" applyNumberFormat="1" applyFont="1" applyFill="1" applyBorder="1"/>
    <xf numFmtId="0" fontId="1" fillId="0" borderId="0" xfId="0" applyFont="1" applyFill="1"/>
    <xf numFmtId="0" fontId="1" fillId="0" borderId="5" xfId="0" applyFont="1" applyFill="1" applyBorder="1"/>
    <xf numFmtId="43" fontId="1" fillId="0" borderId="5" xfId="0" applyNumberFormat="1" applyFont="1" applyFill="1" applyBorder="1"/>
    <xf numFmtId="0" fontId="0" fillId="0" borderId="2" xfId="0" applyFill="1" applyBorder="1"/>
    <xf numFmtId="0" fontId="6" fillId="0" borderId="0" xfId="0" applyFont="1" applyAlignment="1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44" fontId="0" fillId="0" borderId="4" xfId="4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1" xfId="0" applyFont="1" applyBorder="1" applyAlignment="1">
      <alignment vertical="center" wrapText="1"/>
    </xf>
    <xf numFmtId="0" fontId="0" fillId="0" borderId="7" xfId="0" applyBorder="1"/>
    <xf numFmtId="0" fontId="0" fillId="0" borderId="8" xfId="0" applyBorder="1"/>
    <xf numFmtId="0" fontId="0" fillId="0" borderId="12" xfId="0" applyBorder="1"/>
    <xf numFmtId="44" fontId="1" fillId="0" borderId="2" xfId="4" applyFont="1" applyBorder="1"/>
    <xf numFmtId="44" fontId="1" fillId="0" borderId="5" xfId="0" applyNumberFormat="1" applyFont="1" applyBorder="1"/>
    <xf numFmtId="0" fontId="1" fillId="0" borderId="5" xfId="0" applyFont="1" applyBorder="1"/>
    <xf numFmtId="0" fontId="1" fillId="0" borderId="13" xfId="0" applyFont="1" applyBorder="1" applyAlignment="1">
      <alignment horizontal="center" vertical="center" wrapText="1"/>
    </xf>
    <xf numFmtId="41" fontId="3" fillId="0" borderId="4" xfId="0" quotePrefix="1" applyNumberFormat="1" applyFont="1" applyFill="1" applyBorder="1"/>
    <xf numFmtId="20" fontId="3" fillId="0" borderId="4" xfId="0" applyNumberFormat="1" applyFont="1" applyFill="1" applyBorder="1"/>
    <xf numFmtId="0" fontId="1" fillId="0" borderId="0" xfId="0" applyFont="1" applyFill="1" applyBorder="1" applyAlignment="1">
      <alignment horizontal="center"/>
    </xf>
    <xf numFmtId="44" fontId="0" fillId="0" borderId="0" xfId="4" applyFont="1" applyBorder="1" applyAlignment="1">
      <alignment horizontal="center"/>
    </xf>
    <xf numFmtId="44" fontId="1" fillId="0" borderId="0" xfId="4" applyFont="1" applyBorder="1"/>
    <xf numFmtId="44" fontId="0" fillId="0" borderId="10" xfId="4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4" fontId="0" fillId="0" borderId="1" xfId="4" applyFont="1" applyBorder="1" applyAlignment="1">
      <alignment horizontal="center"/>
    </xf>
    <xf numFmtId="44" fontId="0" fillId="0" borderId="2" xfId="4" applyFont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4" fontId="1" fillId="0" borderId="1" xfId="4" applyFont="1" applyBorder="1" applyAlignment="1">
      <alignment horizontal="center"/>
    </xf>
    <xf numFmtId="44" fontId="1" fillId="0" borderId="2" xfId="4" applyFont="1" applyBorder="1" applyAlignment="1">
      <alignment horizontal="center"/>
    </xf>
  </cellXfs>
  <cellStyles count="5">
    <cellStyle name="Comma 10" xfId="1"/>
    <cellStyle name="Currency" xfId="4" builtinId="4"/>
    <cellStyle name="Normal" xfId="0" builtinId="0"/>
    <cellStyle name="Normal 100" xfId="3"/>
    <cellStyle name="Percent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94B8.6919A7C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142875</xdr:colOff>
      <xdr:row>7</xdr:row>
      <xdr:rowOff>25072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1828800" cy="11680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57150</xdr:rowOff>
    </xdr:from>
    <xdr:to>
      <xdr:col>2</xdr:col>
      <xdr:colOff>238125</xdr:colOff>
      <xdr:row>6</xdr:row>
      <xdr:rowOff>161925</xdr:rowOff>
    </xdr:to>
    <xdr:pic>
      <xdr:nvPicPr>
        <xdr:cNvPr id="3" name="Picture 2" descr="cid:image001.png@01D594B8.6919A7C0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7150"/>
          <a:ext cx="1276350" cy="1295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workbookViewId="0">
      <pane ySplit="5" topLeftCell="A123" activePane="bottomLeft" state="frozen"/>
      <selection pane="bottomLeft" activeCell="J87" sqref="J87"/>
    </sheetView>
  </sheetViews>
  <sheetFormatPr defaultColWidth="9.140625" defaultRowHeight="15" x14ac:dyDescent="0.25"/>
  <cols>
    <col min="1" max="1" width="5.7109375" style="4" customWidth="1"/>
    <col min="2" max="2" width="3.5703125" style="4" customWidth="1"/>
    <col min="3" max="3" width="1.28515625" style="4" customWidth="1"/>
    <col min="4" max="4" width="4.28515625" style="4" customWidth="1"/>
    <col min="5" max="5" width="27.85546875" style="4" bestFit="1" customWidth="1"/>
    <col min="6" max="6" width="23.42578125" style="4" customWidth="1"/>
    <col min="7" max="7" width="1.42578125" style="29" customWidth="1"/>
    <col min="8" max="8" width="12" style="4" customWidth="1"/>
    <col min="9" max="9" width="1.42578125" style="29" customWidth="1"/>
    <col min="10" max="10" width="9.140625" style="4"/>
    <col min="11" max="11" width="1.42578125" style="29" customWidth="1"/>
    <col min="12" max="12" width="5.7109375" style="4" customWidth="1"/>
    <col min="13" max="16384" width="9.140625" style="4"/>
  </cols>
  <sheetData>
    <row r="1" spans="1:11" x14ac:dyDescent="0.25">
      <c r="A1" s="1" t="s">
        <v>108</v>
      </c>
      <c r="B1" s="1"/>
      <c r="C1" s="1"/>
      <c r="D1" s="2"/>
      <c r="E1" s="2"/>
      <c r="F1" s="3"/>
    </row>
    <row r="2" spans="1:11" x14ac:dyDescent="0.25">
      <c r="A2" s="1"/>
      <c r="B2" s="1"/>
      <c r="C2" s="1"/>
      <c r="D2" s="5"/>
      <c r="E2" s="5"/>
      <c r="F2" s="5"/>
    </row>
    <row r="3" spans="1:11" x14ac:dyDescent="0.25">
      <c r="A3" s="1"/>
      <c r="B3" s="1"/>
      <c r="C3" s="1"/>
      <c r="D3" s="5"/>
      <c r="E3" s="5"/>
      <c r="F3" s="5"/>
      <c r="J3" s="64"/>
    </row>
    <row r="4" spans="1:11" s="2" customFormat="1" x14ac:dyDescent="0.25">
      <c r="A4" s="5"/>
      <c r="B4" s="5"/>
      <c r="C4" s="5"/>
      <c r="D4" s="5"/>
      <c r="E4" s="5"/>
      <c r="F4" s="5"/>
      <c r="G4" s="31"/>
      <c r="H4" s="7" t="s">
        <v>83</v>
      </c>
      <c r="I4" s="31"/>
      <c r="J4" s="7" t="s">
        <v>84</v>
      </c>
      <c r="K4" s="31"/>
    </row>
    <row r="5" spans="1:11" s="2" customFormat="1" x14ac:dyDescent="0.25">
      <c r="A5" s="5"/>
      <c r="B5" s="5"/>
      <c r="C5" s="5"/>
      <c r="D5" s="5"/>
      <c r="E5" s="5"/>
      <c r="F5" s="5"/>
      <c r="G5" s="31"/>
      <c r="H5" s="8" t="s">
        <v>0</v>
      </c>
      <c r="I5" s="31"/>
      <c r="J5" s="8" t="s">
        <v>85</v>
      </c>
      <c r="K5" s="31"/>
    </row>
    <row r="6" spans="1:11" x14ac:dyDescent="0.25">
      <c r="A6" s="9" t="s">
        <v>1</v>
      </c>
      <c r="B6" s="10"/>
      <c r="C6" s="10"/>
      <c r="D6" s="11"/>
      <c r="E6" s="11"/>
      <c r="F6" s="11"/>
      <c r="G6" s="22"/>
      <c r="H6" s="12"/>
      <c r="I6" s="22"/>
      <c r="J6" s="42"/>
      <c r="K6" s="22"/>
    </row>
    <row r="7" spans="1:11" x14ac:dyDescent="0.25">
      <c r="A7" s="9"/>
      <c r="B7" s="10" t="s">
        <v>114</v>
      </c>
      <c r="C7" s="10"/>
      <c r="D7" s="11"/>
      <c r="E7" s="11"/>
      <c r="F7" s="11"/>
      <c r="G7" s="22"/>
      <c r="H7" s="12"/>
      <c r="I7" s="22"/>
      <c r="J7" s="42"/>
      <c r="K7" s="22"/>
    </row>
    <row r="8" spans="1:11" x14ac:dyDescent="0.25">
      <c r="A8" s="14"/>
      <c r="B8" s="11"/>
      <c r="C8" s="11"/>
      <c r="D8" s="11" t="s">
        <v>2</v>
      </c>
      <c r="E8" s="11"/>
      <c r="F8" s="11"/>
      <c r="G8" s="22"/>
      <c r="H8" s="12"/>
      <c r="I8" s="22"/>
      <c r="J8" s="13"/>
      <c r="K8" s="22"/>
    </row>
    <row r="9" spans="1:11" x14ac:dyDescent="0.25">
      <c r="A9" s="14"/>
      <c r="B9" s="11"/>
      <c r="C9" s="11"/>
      <c r="D9" s="11"/>
      <c r="E9" s="11" t="s">
        <v>112</v>
      </c>
      <c r="F9" s="11"/>
      <c r="G9" s="32"/>
      <c r="H9" s="15">
        <f>16.875+3.625+14.667+1+0.75+1+1.625</f>
        <v>39.542000000000002</v>
      </c>
      <c r="I9" s="32"/>
      <c r="J9" s="13"/>
      <c r="K9" s="32"/>
    </row>
    <row r="10" spans="1:11" x14ac:dyDescent="0.25">
      <c r="A10" s="14"/>
      <c r="B10" s="11"/>
      <c r="C10" s="11"/>
      <c r="D10" s="11"/>
      <c r="E10" s="62" t="s">
        <v>113</v>
      </c>
      <c r="F10" s="11"/>
      <c r="G10" s="32"/>
      <c r="H10" s="15">
        <f>8.292+23.25+4.5</f>
        <v>36.042000000000002</v>
      </c>
      <c r="I10" s="32"/>
      <c r="J10" s="13"/>
      <c r="K10" s="32"/>
    </row>
    <row r="11" spans="1:11" x14ac:dyDescent="0.25">
      <c r="A11" s="9"/>
      <c r="B11" s="10"/>
      <c r="C11" s="10"/>
      <c r="D11" s="10" t="s">
        <v>4</v>
      </c>
      <c r="E11" s="10"/>
      <c r="F11" s="10"/>
      <c r="G11" s="33"/>
      <c r="H11" s="16">
        <f>SUM(H9:H10)</f>
        <v>75.584000000000003</v>
      </c>
      <c r="I11" s="33"/>
      <c r="J11" s="13"/>
      <c r="K11" s="33"/>
    </row>
    <row r="12" spans="1:11" x14ac:dyDescent="0.25">
      <c r="A12" s="14"/>
      <c r="B12" s="11"/>
      <c r="C12" s="11"/>
      <c r="D12" s="11" t="s">
        <v>5</v>
      </c>
      <c r="E12" s="11"/>
      <c r="F12" s="11"/>
      <c r="G12" s="32"/>
      <c r="H12" s="12">
        <v>78.166666666666671</v>
      </c>
      <c r="I12" s="32"/>
      <c r="J12" s="13"/>
      <c r="K12" s="32"/>
    </row>
    <row r="13" spans="1:11" x14ac:dyDescent="0.25">
      <c r="A13" s="14"/>
      <c r="B13" s="11"/>
      <c r="C13" s="11"/>
      <c r="D13" s="11" t="s">
        <v>6</v>
      </c>
      <c r="E13" s="11"/>
      <c r="F13" s="11"/>
      <c r="G13" s="34"/>
      <c r="H13" s="17">
        <f>H11/H12</f>
        <v>0.96695948827292111</v>
      </c>
      <c r="I13" s="34"/>
      <c r="J13" s="13"/>
      <c r="K13" s="34"/>
    </row>
    <row r="14" spans="1:11" x14ac:dyDescent="0.25">
      <c r="A14" s="14"/>
      <c r="B14" s="11"/>
      <c r="C14" s="11"/>
      <c r="D14" s="11" t="s">
        <v>7</v>
      </c>
      <c r="E14" s="11"/>
      <c r="F14" s="11"/>
      <c r="G14" s="22"/>
      <c r="H14" s="12">
        <v>365</v>
      </c>
      <c r="I14" s="22"/>
      <c r="J14" s="13"/>
      <c r="K14" s="22"/>
    </row>
    <row r="15" spans="1:11" x14ac:dyDescent="0.25">
      <c r="A15" s="14"/>
      <c r="B15" s="11"/>
      <c r="C15" s="11"/>
      <c r="D15" s="11"/>
      <c r="E15" s="11"/>
      <c r="F15" s="11"/>
      <c r="G15" s="22"/>
      <c r="H15" s="12"/>
      <c r="I15" s="22"/>
      <c r="J15" s="13"/>
      <c r="K15" s="22"/>
    </row>
    <row r="16" spans="1:11" x14ac:dyDescent="0.25">
      <c r="A16" s="14"/>
      <c r="B16" s="11"/>
      <c r="C16" s="11"/>
      <c r="D16" s="11" t="s">
        <v>8</v>
      </c>
      <c r="E16" s="11"/>
      <c r="F16" s="11"/>
      <c r="G16" s="22"/>
      <c r="H16" s="12"/>
      <c r="I16" s="22"/>
      <c r="J16" s="13"/>
      <c r="K16" s="22"/>
    </row>
    <row r="17" spans="1:11" x14ac:dyDescent="0.25">
      <c r="A17" s="14"/>
      <c r="B17" s="11"/>
      <c r="C17" s="11"/>
      <c r="D17" s="11"/>
      <c r="E17" s="11" t="s">
        <v>112</v>
      </c>
      <c r="F17" s="11"/>
      <c r="G17" s="22"/>
      <c r="H17" s="12">
        <f>6156+1322.5+5351+365+274.5+365+592.5</f>
        <v>14426.5</v>
      </c>
      <c r="I17" s="22"/>
      <c r="J17" s="13"/>
      <c r="K17" s="22"/>
    </row>
    <row r="18" spans="1:11" x14ac:dyDescent="0.25">
      <c r="A18" s="14"/>
      <c r="B18" s="11"/>
      <c r="C18" s="11"/>
      <c r="D18" s="11"/>
      <c r="E18" s="62" t="s">
        <v>113</v>
      </c>
      <c r="F18" s="11"/>
      <c r="G18" s="22"/>
      <c r="H18" s="12">
        <f>1644+3024.5+8483</f>
        <v>13151.5</v>
      </c>
      <c r="I18" s="22"/>
      <c r="J18" s="13"/>
      <c r="K18" s="22"/>
    </row>
    <row r="19" spans="1:11" x14ac:dyDescent="0.25">
      <c r="A19" s="9"/>
      <c r="B19" s="10"/>
      <c r="C19" s="10"/>
      <c r="D19" s="10" t="s">
        <v>8</v>
      </c>
      <c r="E19" s="10"/>
      <c r="F19" s="10"/>
      <c r="G19" s="35"/>
      <c r="H19" s="18">
        <f>SUM(H17:H18)</f>
        <v>27578</v>
      </c>
      <c r="I19" s="35"/>
      <c r="J19" s="13"/>
      <c r="K19" s="35"/>
    </row>
    <row r="20" spans="1:11" x14ac:dyDescent="0.25">
      <c r="A20" s="14"/>
      <c r="B20" s="11"/>
      <c r="C20" s="11"/>
      <c r="D20" s="11"/>
      <c r="E20" s="11"/>
      <c r="F20" s="11"/>
      <c r="G20" s="22"/>
      <c r="H20" s="12"/>
      <c r="I20" s="22"/>
      <c r="J20" s="13"/>
      <c r="K20" s="22"/>
    </row>
    <row r="21" spans="1:11" x14ac:dyDescent="0.25">
      <c r="A21" s="14"/>
      <c r="B21" s="11"/>
      <c r="C21" s="11"/>
      <c r="D21" s="10" t="s">
        <v>1</v>
      </c>
      <c r="E21" s="11"/>
      <c r="F21" s="11"/>
      <c r="G21" s="22"/>
      <c r="H21" s="12"/>
      <c r="I21" s="22"/>
      <c r="J21" s="13"/>
      <c r="K21" s="22"/>
    </row>
    <row r="22" spans="1:11" x14ac:dyDescent="0.25">
      <c r="A22" s="14"/>
      <c r="B22" s="11"/>
      <c r="C22" s="11"/>
      <c r="D22" s="11"/>
      <c r="E22" s="11" t="s">
        <v>112</v>
      </c>
      <c r="F22" s="11"/>
      <c r="G22" s="22"/>
      <c r="H22" s="12">
        <f>1974164.361224+424190.342659+1716082.553324+717540</f>
        <v>4831977.2572070006</v>
      </c>
      <c r="I22" s="22"/>
      <c r="J22" s="13"/>
      <c r="K22" s="22"/>
    </row>
    <row r="23" spans="1:11" x14ac:dyDescent="0.25">
      <c r="A23" s="14"/>
      <c r="B23" s="11"/>
      <c r="C23" s="11"/>
      <c r="D23" s="11"/>
      <c r="E23" s="62" t="s">
        <v>113</v>
      </c>
      <c r="F23" s="11"/>
      <c r="G23" s="22"/>
      <c r="H23" s="12">
        <f>863885.63838+1589579.660745+4458377.18616</f>
        <v>6911842.4852849999</v>
      </c>
      <c r="I23" s="22"/>
      <c r="J23" s="13"/>
      <c r="K23" s="22"/>
    </row>
    <row r="24" spans="1:11" x14ac:dyDescent="0.25">
      <c r="A24" s="14"/>
      <c r="B24" s="11"/>
      <c r="C24" s="11"/>
      <c r="D24" s="11"/>
      <c r="E24" s="11" t="s">
        <v>9</v>
      </c>
      <c r="F24" s="11"/>
      <c r="G24" s="22"/>
      <c r="H24" s="12">
        <v>0</v>
      </c>
      <c r="I24" s="22"/>
      <c r="J24" s="13"/>
      <c r="K24" s="22"/>
    </row>
    <row r="25" spans="1:11" s="39" customFormat="1" x14ac:dyDescent="0.25">
      <c r="A25" s="9"/>
      <c r="B25" s="10"/>
      <c r="C25" s="10"/>
      <c r="D25" s="10" t="s">
        <v>10</v>
      </c>
      <c r="E25" s="10"/>
      <c r="F25" s="10"/>
      <c r="G25" s="35"/>
      <c r="H25" s="26">
        <f>SUM(H22:H24)</f>
        <v>11743819.742492002</v>
      </c>
      <c r="I25" s="35"/>
      <c r="J25" s="40"/>
      <c r="K25" s="35"/>
    </row>
    <row r="26" spans="1:11" s="39" customFormat="1" x14ac:dyDescent="0.25">
      <c r="A26" s="9"/>
      <c r="B26" s="10"/>
      <c r="C26" s="10"/>
      <c r="D26" s="10"/>
      <c r="E26" s="10"/>
      <c r="F26" s="10"/>
      <c r="G26" s="35"/>
      <c r="H26" s="26"/>
      <c r="I26" s="35"/>
      <c r="J26" s="40"/>
      <c r="K26" s="35"/>
    </row>
    <row r="27" spans="1:11" s="39" customFormat="1" x14ac:dyDescent="0.25">
      <c r="A27" s="9"/>
      <c r="B27" s="10" t="s">
        <v>104</v>
      </c>
      <c r="C27" s="10"/>
      <c r="D27" s="10"/>
      <c r="E27" s="10"/>
      <c r="F27" s="10"/>
      <c r="G27" s="35"/>
      <c r="H27" s="26"/>
      <c r="I27" s="35"/>
      <c r="J27" s="40"/>
      <c r="K27" s="35"/>
    </row>
    <row r="28" spans="1:11" s="39" customFormat="1" x14ac:dyDescent="0.25">
      <c r="A28" s="9"/>
      <c r="B28" s="10"/>
      <c r="C28" s="10"/>
      <c r="D28" s="11"/>
      <c r="E28" s="11" t="s">
        <v>112</v>
      </c>
      <c r="F28" s="10"/>
      <c r="G28" s="35"/>
      <c r="H28" s="12">
        <v>7274</v>
      </c>
      <c r="I28" s="35"/>
      <c r="J28" s="40"/>
      <c r="K28" s="35"/>
    </row>
    <row r="29" spans="1:11" s="39" customFormat="1" x14ac:dyDescent="0.25">
      <c r="A29" s="9"/>
      <c r="B29" s="10"/>
      <c r="C29" s="10"/>
      <c r="D29" s="11"/>
      <c r="E29" s="63" t="s">
        <v>115</v>
      </c>
      <c r="F29" s="10"/>
      <c r="G29" s="35"/>
      <c r="H29" s="12">
        <v>8401.5</v>
      </c>
      <c r="I29" s="35"/>
      <c r="J29" s="40"/>
      <c r="K29" s="35"/>
    </row>
    <row r="30" spans="1:11" s="39" customFormat="1" x14ac:dyDescent="0.25">
      <c r="A30" s="9"/>
      <c r="B30" s="10"/>
      <c r="C30" s="10"/>
      <c r="D30" s="11" t="s">
        <v>116</v>
      </c>
      <c r="E30" s="11"/>
      <c r="F30" s="10"/>
      <c r="G30" s="35"/>
      <c r="H30" s="26">
        <f>SUM(H28:H29)</f>
        <v>15675.5</v>
      </c>
      <c r="I30" s="35"/>
      <c r="J30" s="40"/>
      <c r="K30" s="35"/>
    </row>
    <row r="31" spans="1:11" s="39" customFormat="1" x14ac:dyDescent="0.25">
      <c r="A31" s="9"/>
      <c r="B31" s="10"/>
      <c r="C31" s="10"/>
      <c r="D31" s="11" t="s">
        <v>117</v>
      </c>
      <c r="E31" s="11"/>
      <c r="F31" s="10"/>
      <c r="G31" s="35"/>
      <c r="H31" s="26">
        <v>207</v>
      </c>
      <c r="I31" s="35"/>
      <c r="J31" s="40"/>
      <c r="K31" s="35"/>
    </row>
    <row r="32" spans="1:11" s="39" customFormat="1" x14ac:dyDescent="0.25">
      <c r="A32" s="9"/>
      <c r="B32" s="10"/>
      <c r="C32" s="10"/>
      <c r="D32" s="11"/>
      <c r="E32" s="11"/>
      <c r="F32" s="10"/>
      <c r="G32" s="35"/>
      <c r="H32" s="26"/>
      <c r="I32" s="35"/>
      <c r="J32" s="40"/>
      <c r="K32" s="35"/>
    </row>
    <row r="33" spans="1:16" s="39" customFormat="1" x14ac:dyDescent="0.25">
      <c r="A33" s="9"/>
      <c r="B33" s="10"/>
      <c r="C33" s="10"/>
      <c r="D33" s="10" t="s">
        <v>1</v>
      </c>
      <c r="E33" s="11"/>
      <c r="F33" s="10"/>
      <c r="G33" s="35"/>
      <c r="H33" s="26"/>
      <c r="I33" s="35"/>
      <c r="J33" s="40"/>
      <c r="K33" s="35"/>
    </row>
    <row r="34" spans="1:16" s="39" customFormat="1" x14ac:dyDescent="0.25">
      <c r="A34" s="9"/>
      <c r="B34" s="10"/>
      <c r="C34" s="10"/>
      <c r="D34" s="11"/>
      <c r="E34" s="11" t="s">
        <v>112</v>
      </c>
      <c r="F34" s="10"/>
      <c r="G34" s="35"/>
      <c r="H34" s="19">
        <v>1330515.4200000004</v>
      </c>
      <c r="I34" s="35"/>
      <c r="J34" s="40"/>
      <c r="K34" s="35"/>
    </row>
    <row r="35" spans="1:16" s="39" customFormat="1" x14ac:dyDescent="0.25">
      <c r="A35" s="9"/>
      <c r="B35" s="10"/>
      <c r="C35" s="10"/>
      <c r="D35" s="11"/>
      <c r="E35" s="62" t="s">
        <v>113</v>
      </c>
      <c r="F35" s="10"/>
      <c r="G35" s="35"/>
      <c r="H35" s="19">
        <v>2791683.5550000002</v>
      </c>
      <c r="I35" s="35"/>
      <c r="J35" s="40"/>
      <c r="K35" s="35"/>
    </row>
    <row r="36" spans="1:16" s="39" customFormat="1" x14ac:dyDescent="0.25">
      <c r="A36" s="9"/>
      <c r="B36" s="10"/>
      <c r="C36" s="10"/>
      <c r="D36" s="11"/>
      <c r="E36" s="11" t="s">
        <v>9</v>
      </c>
      <c r="F36" s="10"/>
      <c r="G36" s="35"/>
      <c r="H36" s="26"/>
      <c r="I36" s="35"/>
      <c r="J36" s="40"/>
      <c r="K36" s="35"/>
    </row>
    <row r="37" spans="1:16" s="39" customFormat="1" x14ac:dyDescent="0.25">
      <c r="A37" s="9"/>
      <c r="B37" s="10"/>
      <c r="C37" s="10"/>
      <c r="D37" s="10" t="s">
        <v>118</v>
      </c>
      <c r="E37" s="10"/>
      <c r="F37" s="10"/>
      <c r="G37" s="35"/>
      <c r="H37" s="26">
        <f>SUM(H34:H35)</f>
        <v>4122198.9750000006</v>
      </c>
      <c r="I37" s="35"/>
      <c r="J37" s="40"/>
      <c r="K37" s="35"/>
    </row>
    <row r="38" spans="1:16" x14ac:dyDescent="0.25">
      <c r="A38" s="14"/>
      <c r="B38" s="11"/>
      <c r="C38" s="11"/>
      <c r="D38" s="11"/>
      <c r="E38" s="11"/>
      <c r="F38" s="11"/>
      <c r="G38" s="22"/>
      <c r="H38" s="12"/>
      <c r="I38" s="22"/>
      <c r="J38" s="13"/>
      <c r="K38" s="22"/>
      <c r="M38" s="39"/>
      <c r="N38" s="39"/>
      <c r="O38" s="39"/>
      <c r="P38" s="39"/>
    </row>
    <row r="39" spans="1:16" x14ac:dyDescent="0.25">
      <c r="A39" s="14"/>
      <c r="B39" s="11"/>
      <c r="C39" s="11"/>
      <c r="D39" s="11"/>
      <c r="E39" s="11"/>
      <c r="F39" s="11"/>
      <c r="G39" s="22"/>
      <c r="H39" s="12"/>
      <c r="I39" s="22"/>
      <c r="J39" s="13"/>
      <c r="K39" s="22"/>
      <c r="M39" s="39"/>
      <c r="N39" s="39"/>
      <c r="O39" s="39"/>
      <c r="P39" s="39"/>
    </row>
    <row r="40" spans="1:16" x14ac:dyDescent="0.25">
      <c r="A40" s="14"/>
      <c r="B40" s="11"/>
      <c r="C40" s="11"/>
      <c r="D40" s="10" t="s">
        <v>11</v>
      </c>
      <c r="E40" s="11"/>
      <c r="F40" s="11"/>
      <c r="G40" s="22"/>
      <c r="H40" s="12"/>
      <c r="I40" s="22"/>
      <c r="J40" s="13"/>
      <c r="K40" s="22"/>
    </row>
    <row r="41" spans="1:16" x14ac:dyDescent="0.25">
      <c r="B41" s="11"/>
      <c r="C41" s="11"/>
      <c r="D41" s="11"/>
      <c r="E41" s="11" t="s">
        <v>12</v>
      </c>
      <c r="F41" s="11"/>
      <c r="G41" s="22"/>
      <c r="H41" s="19">
        <f>H25</f>
        <v>11743819.742492002</v>
      </c>
      <c r="I41" s="22"/>
      <c r="J41" s="13"/>
      <c r="K41" s="22"/>
    </row>
    <row r="42" spans="1:16" x14ac:dyDescent="0.25">
      <c r="A42" s="14"/>
      <c r="B42" s="11"/>
      <c r="C42" s="11"/>
      <c r="D42" s="11"/>
      <c r="E42" s="11" t="s">
        <v>111</v>
      </c>
      <c r="F42" s="30"/>
      <c r="G42" s="22"/>
      <c r="H42" s="19">
        <f>H37</f>
        <v>4122198.9750000006</v>
      </c>
      <c r="I42" s="22"/>
      <c r="J42" s="13"/>
      <c r="K42" s="22"/>
    </row>
    <row r="43" spans="1:16" x14ac:dyDescent="0.25">
      <c r="A43" s="14"/>
      <c r="B43" s="11"/>
      <c r="C43" s="11"/>
      <c r="D43" s="11"/>
      <c r="E43" s="11" t="s">
        <v>13</v>
      </c>
      <c r="F43" s="11"/>
      <c r="G43" s="22"/>
      <c r="H43" s="19">
        <v>-74158</v>
      </c>
      <c r="I43" s="22"/>
      <c r="J43" s="13"/>
      <c r="K43" s="22"/>
    </row>
    <row r="44" spans="1:16" x14ac:dyDescent="0.25">
      <c r="A44" s="20"/>
      <c r="B44" s="21"/>
      <c r="C44" s="21"/>
      <c r="D44" s="21" t="s">
        <v>14</v>
      </c>
      <c r="E44" s="21"/>
      <c r="F44" s="21"/>
      <c r="G44" s="35"/>
      <c r="H44" s="18">
        <f>SUM(H41:H43)</f>
        <v>15791860.717492003</v>
      </c>
      <c r="I44" s="35"/>
      <c r="J44" s="13"/>
      <c r="K44" s="35"/>
    </row>
    <row r="45" spans="1:16" x14ac:dyDescent="0.25">
      <c r="G45" s="22"/>
      <c r="H45" s="22"/>
      <c r="I45" s="22"/>
      <c r="J45" s="22"/>
      <c r="K45" s="22"/>
    </row>
    <row r="46" spans="1:16" x14ac:dyDescent="0.25">
      <c r="A46" s="1"/>
      <c r="B46" s="1"/>
      <c r="C46" s="1"/>
      <c r="D46" s="5"/>
      <c r="E46" s="5"/>
      <c r="F46" s="5"/>
      <c r="G46" s="31"/>
      <c r="H46" s="6"/>
      <c r="I46" s="31"/>
      <c r="J46" s="69"/>
      <c r="K46" s="69"/>
    </row>
    <row r="47" spans="1:16" x14ac:dyDescent="0.25">
      <c r="A47" s="5"/>
      <c r="B47" s="5"/>
      <c r="C47" s="5"/>
      <c r="D47" s="5"/>
      <c r="E47" s="5"/>
      <c r="F47" s="5"/>
      <c r="G47" s="31"/>
      <c r="H47" s="7" t="s">
        <v>83</v>
      </c>
      <c r="I47" s="31"/>
      <c r="J47" s="7" t="s">
        <v>84</v>
      </c>
      <c r="K47" s="31"/>
    </row>
    <row r="48" spans="1:16" x14ac:dyDescent="0.25">
      <c r="A48" s="9" t="s">
        <v>15</v>
      </c>
      <c r="B48" s="11"/>
      <c r="C48" s="11"/>
      <c r="D48" s="11"/>
      <c r="E48" s="11"/>
      <c r="F48" s="11"/>
      <c r="G48" s="31"/>
      <c r="H48" s="8" t="s">
        <v>0</v>
      </c>
      <c r="I48" s="31"/>
      <c r="J48" s="8" t="s">
        <v>85</v>
      </c>
      <c r="K48" s="31"/>
    </row>
    <row r="49" spans="1:11" x14ac:dyDescent="0.25">
      <c r="A49" s="14"/>
      <c r="B49" s="11"/>
      <c r="C49" s="11"/>
      <c r="D49" s="10" t="s">
        <v>16</v>
      </c>
      <c r="E49" s="10"/>
      <c r="F49" s="11"/>
      <c r="G49" s="22"/>
      <c r="H49" s="12"/>
      <c r="I49" s="22"/>
      <c r="J49" s="13"/>
      <c r="K49" s="22"/>
    </row>
    <row r="50" spans="1:11" x14ac:dyDescent="0.25">
      <c r="A50" s="9"/>
      <c r="B50" s="10"/>
      <c r="C50" s="10"/>
      <c r="D50" s="10"/>
      <c r="E50" s="11" t="s">
        <v>3</v>
      </c>
      <c r="F50" s="11"/>
      <c r="G50" s="22"/>
      <c r="H50" s="12">
        <v>99421</v>
      </c>
      <c r="I50" s="22"/>
      <c r="J50" s="28">
        <f>+H50/$H$19</f>
        <v>3.6050837624193197</v>
      </c>
      <c r="K50" s="22"/>
    </row>
    <row r="51" spans="1:11" x14ac:dyDescent="0.25">
      <c r="A51" s="23"/>
      <c r="B51" s="24"/>
      <c r="C51" s="24"/>
      <c r="D51" s="24"/>
      <c r="E51" s="24" t="s">
        <v>17</v>
      </c>
      <c r="F51" s="24"/>
      <c r="G51" s="22"/>
      <c r="H51" s="12">
        <v>12000</v>
      </c>
      <c r="I51" s="22"/>
      <c r="J51" s="28">
        <f t="shared" ref="J51:J114" si="0">+H51/$H$19</f>
        <v>0.43512945101167599</v>
      </c>
      <c r="K51" s="22"/>
    </row>
    <row r="52" spans="1:11" x14ac:dyDescent="0.25">
      <c r="A52" s="23"/>
      <c r="B52" s="24"/>
      <c r="C52" s="24"/>
      <c r="D52" s="24"/>
      <c r="E52" s="24" t="s">
        <v>18</v>
      </c>
      <c r="F52" s="24"/>
      <c r="G52" s="22"/>
      <c r="H52" s="12">
        <v>5007</v>
      </c>
      <c r="I52" s="22"/>
      <c r="J52" s="28">
        <f t="shared" si="0"/>
        <v>0.18155776343462179</v>
      </c>
      <c r="K52" s="22"/>
    </row>
    <row r="53" spans="1:11" x14ac:dyDescent="0.25">
      <c r="A53" s="14"/>
      <c r="B53" s="11"/>
      <c r="C53" s="11"/>
      <c r="D53" s="11"/>
      <c r="E53" s="11" t="s">
        <v>19</v>
      </c>
      <c r="F53" s="11"/>
      <c r="G53" s="22"/>
      <c r="H53" s="12">
        <v>33000</v>
      </c>
      <c r="I53" s="22"/>
      <c r="J53" s="28">
        <f t="shared" si="0"/>
        <v>1.1966059902821089</v>
      </c>
      <c r="K53" s="22"/>
    </row>
    <row r="54" spans="1:11" x14ac:dyDescent="0.25">
      <c r="A54" s="23"/>
      <c r="B54" s="24"/>
      <c r="C54" s="24"/>
      <c r="D54" s="24"/>
      <c r="E54" s="24" t="s">
        <v>20</v>
      </c>
      <c r="F54" s="24"/>
      <c r="G54" s="22"/>
      <c r="H54" s="12">
        <v>0</v>
      </c>
      <c r="I54" s="22"/>
      <c r="J54" s="28">
        <f t="shared" si="0"/>
        <v>0</v>
      </c>
      <c r="K54" s="22"/>
    </row>
    <row r="55" spans="1:11" x14ac:dyDescent="0.25">
      <c r="A55" s="23"/>
      <c r="B55" s="24"/>
      <c r="C55" s="24"/>
      <c r="D55" s="24"/>
      <c r="E55" s="24" t="s">
        <v>21</v>
      </c>
      <c r="F55" s="24"/>
      <c r="G55" s="22"/>
      <c r="H55" s="12">
        <v>18000</v>
      </c>
      <c r="I55" s="22"/>
      <c r="J55" s="28">
        <f t="shared" si="0"/>
        <v>0.65269417651751394</v>
      </c>
      <c r="K55" s="22"/>
    </row>
    <row r="56" spans="1:11" x14ac:dyDescent="0.25">
      <c r="A56" s="14"/>
      <c r="B56" s="11"/>
      <c r="C56" s="11"/>
      <c r="D56" s="11"/>
      <c r="E56" s="11" t="s">
        <v>22</v>
      </c>
      <c r="F56" s="11"/>
      <c r="G56" s="22"/>
      <c r="H56" s="12">
        <v>6000</v>
      </c>
      <c r="I56" s="22"/>
      <c r="J56" s="28">
        <f t="shared" si="0"/>
        <v>0.217564725505838</v>
      </c>
      <c r="K56" s="22"/>
    </row>
    <row r="57" spans="1:11" x14ac:dyDescent="0.25">
      <c r="A57" s="23"/>
      <c r="B57" s="24"/>
      <c r="C57" s="24"/>
      <c r="D57" s="24"/>
      <c r="E57" s="24" t="s">
        <v>23</v>
      </c>
      <c r="F57" s="24"/>
      <c r="G57" s="22"/>
      <c r="H57" s="12">
        <v>0</v>
      </c>
      <c r="I57" s="22"/>
      <c r="J57" s="28">
        <f t="shared" si="0"/>
        <v>0</v>
      </c>
      <c r="K57" s="22"/>
    </row>
    <row r="58" spans="1:11" x14ac:dyDescent="0.25">
      <c r="A58" s="14"/>
      <c r="B58" s="11"/>
      <c r="C58" s="11"/>
      <c r="D58" s="11"/>
      <c r="E58" s="11" t="s">
        <v>24</v>
      </c>
      <c r="F58" s="11"/>
      <c r="G58" s="22"/>
      <c r="H58" s="12">
        <v>12216</v>
      </c>
      <c r="I58" s="22"/>
      <c r="J58" s="28">
        <f t="shared" si="0"/>
        <v>0.44296178112988616</v>
      </c>
      <c r="K58" s="22"/>
    </row>
    <row r="59" spans="1:11" x14ac:dyDescent="0.25">
      <c r="A59" s="23"/>
      <c r="B59" s="24"/>
      <c r="C59" s="24"/>
      <c r="D59" s="24"/>
      <c r="E59" s="24" t="s">
        <v>25</v>
      </c>
      <c r="F59" s="24"/>
      <c r="G59" s="22"/>
      <c r="H59" s="12">
        <v>0</v>
      </c>
      <c r="I59" s="22"/>
      <c r="J59" s="28">
        <f t="shared" si="0"/>
        <v>0</v>
      </c>
      <c r="K59" s="22"/>
    </row>
    <row r="60" spans="1:11" x14ac:dyDescent="0.25">
      <c r="A60" s="23"/>
      <c r="B60" s="24"/>
      <c r="C60" s="24"/>
      <c r="D60" s="24"/>
      <c r="E60" s="24" t="s">
        <v>26</v>
      </c>
      <c r="F60" s="24"/>
      <c r="G60" s="22"/>
      <c r="H60" s="12">
        <v>0</v>
      </c>
      <c r="I60" s="22"/>
      <c r="J60" s="28">
        <f t="shared" si="0"/>
        <v>0</v>
      </c>
      <c r="K60" s="22"/>
    </row>
    <row r="61" spans="1:11" x14ac:dyDescent="0.25">
      <c r="A61" s="20"/>
      <c r="B61" s="21"/>
      <c r="C61" s="21"/>
      <c r="D61" s="21"/>
      <c r="E61" s="21"/>
      <c r="F61" s="21" t="s">
        <v>27</v>
      </c>
      <c r="G61" s="35"/>
      <c r="H61" s="18">
        <f>SUM(H50:H60)</f>
        <v>185644</v>
      </c>
      <c r="I61" s="35"/>
      <c r="J61" s="41">
        <f t="shared" si="0"/>
        <v>6.7315976503009649</v>
      </c>
      <c r="K61" s="35"/>
    </row>
    <row r="62" spans="1:11" x14ac:dyDescent="0.25">
      <c r="A62" s="23"/>
      <c r="B62" s="24"/>
      <c r="C62" s="24"/>
      <c r="D62" s="24"/>
      <c r="E62" s="24"/>
      <c r="F62" s="24"/>
      <c r="G62" s="22"/>
      <c r="H62" s="12"/>
      <c r="I62" s="22"/>
      <c r="J62" s="28"/>
      <c r="K62" s="22"/>
    </row>
    <row r="63" spans="1:11" x14ac:dyDescent="0.25">
      <c r="A63" s="23"/>
      <c r="B63" s="24"/>
      <c r="C63" s="24"/>
      <c r="D63" s="21" t="s">
        <v>28</v>
      </c>
      <c r="E63" s="21"/>
      <c r="F63" s="24"/>
      <c r="G63" s="22"/>
      <c r="H63" s="12"/>
      <c r="I63" s="22"/>
      <c r="J63" s="28"/>
      <c r="K63" s="22"/>
    </row>
    <row r="64" spans="1:11" x14ac:dyDescent="0.25">
      <c r="A64" s="23"/>
      <c r="B64" s="24"/>
      <c r="C64" s="24"/>
      <c r="D64" s="24"/>
      <c r="E64" s="24" t="s">
        <v>29</v>
      </c>
      <c r="F64" s="24"/>
      <c r="G64" s="22"/>
      <c r="H64" s="12">
        <v>42000</v>
      </c>
      <c r="I64" s="22"/>
      <c r="J64" s="28">
        <f t="shared" si="0"/>
        <v>1.5229530785408658</v>
      </c>
      <c r="K64" s="22"/>
    </row>
    <row r="65" spans="1:11" x14ac:dyDescent="0.25">
      <c r="A65" s="23"/>
      <c r="B65" s="24"/>
      <c r="C65" s="24"/>
      <c r="D65" s="24"/>
      <c r="E65" s="24" t="s">
        <v>30</v>
      </c>
      <c r="F65" s="24"/>
      <c r="G65" s="22"/>
      <c r="H65" s="12">
        <v>921666.65623999992</v>
      </c>
      <c r="I65" s="22"/>
      <c r="J65" s="28">
        <f t="shared" si="0"/>
        <v>33.420358845456519</v>
      </c>
      <c r="K65" s="22"/>
    </row>
    <row r="66" spans="1:11" x14ac:dyDescent="0.25">
      <c r="A66" s="23"/>
      <c r="B66" s="24"/>
      <c r="C66" s="24"/>
      <c r="D66" s="24"/>
      <c r="E66" s="24" t="s">
        <v>31</v>
      </c>
      <c r="F66" s="24"/>
      <c r="G66" s="22"/>
      <c r="H66" s="12">
        <v>6600</v>
      </c>
      <c r="I66" s="22"/>
      <c r="J66" s="28">
        <f t="shared" si="0"/>
        <v>0.2393211980564218</v>
      </c>
      <c r="K66" s="22"/>
    </row>
    <row r="67" spans="1:11" x14ac:dyDescent="0.25">
      <c r="A67" s="23"/>
      <c r="B67" s="24"/>
      <c r="C67" s="24"/>
      <c r="D67" s="24"/>
      <c r="E67" s="24" t="s">
        <v>32</v>
      </c>
      <c r="F67" s="24"/>
      <c r="G67" s="22"/>
      <c r="H67" s="12">
        <v>115290</v>
      </c>
      <c r="I67" s="22"/>
      <c r="J67" s="28">
        <f t="shared" si="0"/>
        <v>4.1805062005946771</v>
      </c>
      <c r="K67" s="22"/>
    </row>
    <row r="68" spans="1:11" x14ac:dyDescent="0.25">
      <c r="A68" s="23"/>
      <c r="B68" s="24"/>
      <c r="C68" s="24"/>
      <c r="D68" s="24"/>
      <c r="E68" s="24" t="s">
        <v>33</v>
      </c>
      <c r="F68" s="24"/>
      <c r="G68" s="22"/>
      <c r="H68" s="12">
        <v>24600</v>
      </c>
      <c r="I68" s="22"/>
      <c r="J68" s="28">
        <f t="shared" si="0"/>
        <v>0.89201537457393576</v>
      </c>
      <c r="K68" s="22"/>
    </row>
    <row r="69" spans="1:11" x14ac:dyDescent="0.25">
      <c r="A69" s="23"/>
      <c r="B69" s="24"/>
      <c r="C69" s="24"/>
      <c r="D69" s="24"/>
      <c r="E69" s="24" t="s">
        <v>34</v>
      </c>
      <c r="F69" s="24"/>
      <c r="G69" s="22"/>
      <c r="H69" s="12">
        <v>0</v>
      </c>
      <c r="I69" s="22"/>
      <c r="J69" s="28"/>
      <c r="K69" s="22"/>
    </row>
    <row r="70" spans="1:11" x14ac:dyDescent="0.25">
      <c r="A70" s="23"/>
      <c r="B70" s="24"/>
      <c r="C70" s="24"/>
      <c r="D70" s="24"/>
      <c r="E70" s="24"/>
      <c r="F70" s="24" t="s">
        <v>35</v>
      </c>
      <c r="G70" s="22"/>
      <c r="H70" s="12">
        <v>0</v>
      </c>
      <c r="I70" s="22"/>
      <c r="J70" s="28">
        <f t="shared" si="0"/>
        <v>0</v>
      </c>
      <c r="K70" s="22"/>
    </row>
    <row r="71" spans="1:11" x14ac:dyDescent="0.25">
      <c r="A71" s="23"/>
      <c r="B71" s="24"/>
      <c r="C71" s="24"/>
      <c r="D71" s="24"/>
      <c r="E71" s="24"/>
      <c r="F71" s="24" t="s">
        <v>36</v>
      </c>
      <c r="G71" s="22"/>
      <c r="H71" s="12">
        <v>14283.464566929139</v>
      </c>
      <c r="I71" s="22"/>
      <c r="J71" s="28">
        <f t="shared" si="0"/>
        <v>0.51792967462938355</v>
      </c>
      <c r="K71" s="22"/>
    </row>
    <row r="72" spans="1:11" x14ac:dyDescent="0.25">
      <c r="A72" s="23"/>
      <c r="B72" s="24"/>
      <c r="C72" s="24"/>
      <c r="D72" s="24"/>
      <c r="E72" s="24"/>
      <c r="F72" s="24" t="s">
        <v>37</v>
      </c>
      <c r="G72" s="22"/>
      <c r="H72" s="12">
        <v>4200</v>
      </c>
      <c r="I72" s="22"/>
      <c r="J72" s="28">
        <f t="shared" si="0"/>
        <v>0.1522953078540866</v>
      </c>
      <c r="K72" s="22"/>
    </row>
    <row r="73" spans="1:11" x14ac:dyDescent="0.25">
      <c r="A73" s="23"/>
      <c r="B73" s="24"/>
      <c r="C73" s="24"/>
      <c r="D73" s="24"/>
      <c r="E73" s="24"/>
      <c r="F73" s="24" t="s">
        <v>38</v>
      </c>
      <c r="G73" s="22"/>
      <c r="H73" s="12">
        <v>0</v>
      </c>
      <c r="I73" s="22"/>
      <c r="J73" s="28">
        <f t="shared" si="0"/>
        <v>0</v>
      </c>
      <c r="K73" s="22"/>
    </row>
    <row r="74" spans="1:11" x14ac:dyDescent="0.25">
      <c r="A74" s="20"/>
      <c r="B74" s="21"/>
      <c r="C74" s="21"/>
      <c r="D74" s="21"/>
      <c r="E74" s="21"/>
      <c r="F74" s="21" t="s">
        <v>39</v>
      </c>
      <c r="G74" s="35"/>
      <c r="H74" s="18">
        <f>SUM(H64:H73)</f>
        <v>1128640.120806929</v>
      </c>
      <c r="I74" s="35"/>
      <c r="J74" s="41">
        <f t="shared" si="0"/>
        <v>40.925379679705884</v>
      </c>
      <c r="K74" s="35"/>
    </row>
    <row r="75" spans="1:11" x14ac:dyDescent="0.25">
      <c r="A75" s="23"/>
      <c r="B75" s="24"/>
      <c r="C75" s="24"/>
      <c r="D75" s="24"/>
      <c r="E75" s="24"/>
      <c r="F75" s="24"/>
      <c r="G75" s="22"/>
      <c r="H75" s="12"/>
      <c r="I75" s="22"/>
      <c r="J75" s="28"/>
      <c r="K75" s="22"/>
    </row>
    <row r="76" spans="1:11" x14ac:dyDescent="0.25">
      <c r="A76" s="23"/>
      <c r="B76" s="24"/>
      <c r="C76" s="24"/>
      <c r="D76" s="21" t="s">
        <v>40</v>
      </c>
      <c r="E76" s="21"/>
      <c r="F76" s="24"/>
      <c r="G76" s="22"/>
      <c r="H76" s="12"/>
      <c r="I76" s="22"/>
      <c r="J76" s="28"/>
      <c r="K76" s="22"/>
    </row>
    <row r="77" spans="1:11" x14ac:dyDescent="0.25">
      <c r="A77" s="23"/>
      <c r="B77" s="24"/>
      <c r="C77" s="24"/>
      <c r="D77" s="24"/>
      <c r="E77" s="24" t="s">
        <v>41</v>
      </c>
      <c r="F77" s="24"/>
      <c r="G77" s="36"/>
      <c r="H77" s="12">
        <v>7422635.9780821912</v>
      </c>
      <c r="I77" s="36"/>
      <c r="J77" s="28">
        <f t="shared" si="0"/>
        <v>269.15062651686821</v>
      </c>
      <c r="K77" s="36"/>
    </row>
    <row r="78" spans="1:11" x14ac:dyDescent="0.25">
      <c r="A78" s="23"/>
      <c r="B78" s="24"/>
      <c r="C78" s="24"/>
      <c r="D78" s="24"/>
      <c r="E78" s="24" t="s">
        <v>42</v>
      </c>
      <c r="F78" s="24"/>
      <c r="G78" s="36"/>
      <c r="H78" s="12">
        <v>221703.21531750006</v>
      </c>
      <c r="I78" s="36"/>
      <c r="J78" s="28">
        <f t="shared" si="0"/>
        <v>8.0391331973855991</v>
      </c>
      <c r="K78" s="36"/>
    </row>
    <row r="79" spans="1:11" x14ac:dyDescent="0.25">
      <c r="A79" s="23"/>
      <c r="B79" s="24"/>
      <c r="C79" s="24"/>
      <c r="D79" s="24"/>
      <c r="E79" s="24" t="s">
        <v>43</v>
      </c>
      <c r="F79" s="24"/>
      <c r="G79" s="36"/>
      <c r="H79" s="12">
        <v>891706</v>
      </c>
      <c r="I79" s="36"/>
      <c r="J79" s="28">
        <f t="shared" si="0"/>
        <v>32.333961853651459</v>
      </c>
      <c r="K79" s="36"/>
    </row>
    <row r="80" spans="1:11" x14ac:dyDescent="0.25">
      <c r="A80" s="23"/>
      <c r="B80" s="24"/>
      <c r="C80" s="24"/>
      <c r="D80" s="24"/>
      <c r="E80" s="24" t="s">
        <v>44</v>
      </c>
      <c r="F80" s="24"/>
      <c r="G80" s="36"/>
      <c r="H80" s="12">
        <v>0</v>
      </c>
      <c r="I80" s="36"/>
      <c r="J80" s="28"/>
      <c r="K80" s="36"/>
    </row>
    <row r="81" spans="1:11" x14ac:dyDescent="0.25">
      <c r="A81" s="23"/>
      <c r="B81" s="24"/>
      <c r="C81" s="24"/>
      <c r="D81" s="24"/>
      <c r="E81" s="25"/>
      <c r="F81" s="24" t="s">
        <v>45</v>
      </c>
      <c r="G81" s="36"/>
      <c r="H81" s="12">
        <v>376220.17040226626</v>
      </c>
      <c r="I81" s="36"/>
      <c r="J81" s="28">
        <f t="shared" si="0"/>
        <v>13.642039683888109</v>
      </c>
      <c r="K81" s="36"/>
    </row>
    <row r="82" spans="1:11" x14ac:dyDescent="0.25">
      <c r="A82" s="23"/>
      <c r="B82" s="24"/>
      <c r="C82" s="24"/>
      <c r="D82" s="24"/>
      <c r="E82" s="25"/>
      <c r="F82" s="24" t="s">
        <v>46</v>
      </c>
      <c r="G82" s="36"/>
      <c r="H82" s="12">
        <v>-248034.11999999991</v>
      </c>
      <c r="I82" s="36"/>
      <c r="J82" s="28">
        <f t="shared" si="0"/>
        <v>-8.9939125389803429</v>
      </c>
      <c r="K82" s="36"/>
    </row>
    <row r="83" spans="1:11" x14ac:dyDescent="0.25">
      <c r="A83" s="23"/>
      <c r="B83" s="24"/>
      <c r="C83" s="24"/>
      <c r="D83" s="24"/>
      <c r="E83" s="24"/>
      <c r="F83" s="24" t="s">
        <v>47</v>
      </c>
      <c r="G83" s="36"/>
      <c r="H83" s="12">
        <v>0</v>
      </c>
      <c r="I83" s="36"/>
      <c r="J83" s="28">
        <f t="shared" si="0"/>
        <v>0</v>
      </c>
      <c r="K83" s="36"/>
    </row>
    <row r="84" spans="1:11" x14ac:dyDescent="0.25">
      <c r="A84" s="23"/>
      <c r="B84" s="24"/>
      <c r="C84" s="24"/>
      <c r="D84" s="24"/>
      <c r="E84" s="24"/>
      <c r="F84" s="24" t="s">
        <v>48</v>
      </c>
      <c r="G84" s="36"/>
      <c r="H84" s="12">
        <v>250813.44693484413</v>
      </c>
      <c r="I84" s="36"/>
      <c r="J84" s="28">
        <f t="shared" si="0"/>
        <v>9.0946931225920711</v>
      </c>
      <c r="K84" s="36"/>
    </row>
    <row r="85" spans="1:11" x14ac:dyDescent="0.25">
      <c r="A85" s="23"/>
      <c r="B85" s="24"/>
      <c r="C85" s="24"/>
      <c r="D85" s="24"/>
      <c r="E85" s="24"/>
      <c r="F85" s="24" t="s">
        <v>49</v>
      </c>
      <c r="G85" s="36"/>
      <c r="H85" s="12">
        <v>19344</v>
      </c>
      <c r="I85" s="36"/>
      <c r="J85" s="28">
        <f t="shared" si="0"/>
        <v>0.70142867503082162</v>
      </c>
      <c r="K85" s="36"/>
    </row>
    <row r="86" spans="1:11" x14ac:dyDescent="0.25">
      <c r="A86" s="23"/>
      <c r="B86" s="24"/>
      <c r="C86" s="24"/>
      <c r="D86" s="24"/>
      <c r="E86" s="24"/>
      <c r="F86" s="24" t="s">
        <v>50</v>
      </c>
      <c r="G86" s="36"/>
      <c r="H86" s="12">
        <v>378999.4973371104</v>
      </c>
      <c r="I86" s="36"/>
      <c r="J86" s="28">
        <f t="shared" si="0"/>
        <v>13.742820267499834</v>
      </c>
      <c r="K86" s="36"/>
    </row>
    <row r="87" spans="1:11" x14ac:dyDescent="0.25">
      <c r="A87" s="20"/>
      <c r="B87" s="21"/>
      <c r="C87" s="21"/>
      <c r="D87" s="21"/>
      <c r="E87" s="24" t="s">
        <v>51</v>
      </c>
      <c r="F87" s="24"/>
      <c r="G87" s="36"/>
      <c r="H87" s="12">
        <v>381940</v>
      </c>
      <c r="I87" s="36"/>
      <c r="J87" s="28">
        <f t="shared" si="0"/>
        <v>13.849445209949961</v>
      </c>
      <c r="K87" s="36"/>
    </row>
    <row r="88" spans="1:11" x14ac:dyDescent="0.25">
      <c r="A88" s="23"/>
      <c r="B88" s="24"/>
      <c r="C88" s="24"/>
      <c r="D88" s="24"/>
      <c r="E88" s="24" t="s">
        <v>52</v>
      </c>
      <c r="F88" s="24"/>
      <c r="G88" s="36"/>
      <c r="H88" s="12">
        <f>(H77+H79)*0.10591</f>
        <v>880571.95889868494</v>
      </c>
      <c r="I88" s="36"/>
      <c r="J88" s="28">
        <f t="shared" si="0"/>
        <v>31.930232754321739</v>
      </c>
      <c r="K88" s="36"/>
    </row>
    <row r="89" spans="1:11" x14ac:dyDescent="0.25">
      <c r="A89" s="23"/>
      <c r="B89" s="24"/>
      <c r="C89" s="24"/>
      <c r="D89" s="24"/>
      <c r="E89" s="24" t="s">
        <v>53</v>
      </c>
      <c r="F89" s="24"/>
      <c r="G89" s="36"/>
      <c r="H89" s="12">
        <v>11100</v>
      </c>
      <c r="I89" s="36"/>
      <c r="J89" s="28">
        <f t="shared" si="0"/>
        <v>0.40249474218580028</v>
      </c>
      <c r="K89" s="36"/>
    </row>
    <row r="90" spans="1:11" x14ac:dyDescent="0.25">
      <c r="A90" s="23"/>
      <c r="B90" s="24"/>
      <c r="C90" s="24"/>
      <c r="D90" s="24"/>
      <c r="E90" s="24" t="s">
        <v>54</v>
      </c>
      <c r="F90" s="24"/>
      <c r="G90" s="36"/>
      <c r="H90" s="12">
        <f>410225+(5000*12)</f>
        <v>470225</v>
      </c>
      <c r="I90" s="36"/>
      <c r="J90" s="28">
        <f t="shared" si="0"/>
        <v>17.050728841830445</v>
      </c>
      <c r="K90" s="36"/>
    </row>
    <row r="91" spans="1:11" x14ac:dyDescent="0.25">
      <c r="A91" s="23"/>
      <c r="B91" s="24"/>
      <c r="C91" s="24"/>
      <c r="D91" s="24"/>
      <c r="E91" s="24" t="s">
        <v>55</v>
      </c>
      <c r="F91" s="24"/>
      <c r="G91" s="36"/>
      <c r="H91" s="12">
        <v>0</v>
      </c>
      <c r="I91" s="36"/>
      <c r="J91" s="28">
        <f t="shared" si="0"/>
        <v>0</v>
      </c>
      <c r="K91" s="36"/>
    </row>
    <row r="92" spans="1:11" x14ac:dyDescent="0.25">
      <c r="A92" s="23"/>
      <c r="B92" s="24"/>
      <c r="C92" s="24"/>
      <c r="D92" s="24"/>
      <c r="E92" s="24" t="s">
        <v>56</v>
      </c>
      <c r="F92" s="24"/>
      <c r="G92" s="36"/>
      <c r="H92" s="12">
        <v>0</v>
      </c>
      <c r="I92" s="36"/>
      <c r="J92" s="28">
        <f t="shared" si="0"/>
        <v>0</v>
      </c>
      <c r="K92" s="36"/>
    </row>
    <row r="93" spans="1:11" x14ac:dyDescent="0.25">
      <c r="A93" s="23"/>
      <c r="B93" s="24"/>
      <c r="C93" s="24"/>
      <c r="D93" s="24"/>
      <c r="E93" s="24" t="s">
        <v>57</v>
      </c>
      <c r="F93" s="24"/>
      <c r="G93" s="36"/>
      <c r="H93" s="12">
        <v>0</v>
      </c>
      <c r="I93" s="36"/>
      <c r="J93" s="28">
        <f t="shared" si="0"/>
        <v>0</v>
      </c>
      <c r="K93" s="36"/>
    </row>
    <row r="94" spans="1:11" x14ac:dyDescent="0.25">
      <c r="A94" s="23"/>
      <c r="B94" s="24"/>
      <c r="C94" s="24"/>
      <c r="D94" s="24"/>
      <c r="E94" s="24" t="s">
        <v>58</v>
      </c>
      <c r="F94" s="24"/>
      <c r="G94" s="36"/>
      <c r="H94" s="12">
        <f>500+46800</f>
        <v>47300</v>
      </c>
      <c r="I94" s="36"/>
      <c r="J94" s="28">
        <f t="shared" si="0"/>
        <v>1.7151352527376895</v>
      </c>
      <c r="K94" s="36"/>
    </row>
    <row r="95" spans="1:11" x14ac:dyDescent="0.25">
      <c r="A95" s="20"/>
      <c r="B95" s="21"/>
      <c r="C95" s="21"/>
      <c r="D95" s="21"/>
      <c r="E95" s="21"/>
      <c r="F95" s="21" t="s">
        <v>59</v>
      </c>
      <c r="G95" s="37"/>
      <c r="H95" s="26">
        <f>SUM(H77:H94)-H86</f>
        <v>10725525.649635486</v>
      </c>
      <c r="I95" s="37"/>
      <c r="J95" s="41">
        <f t="shared" si="0"/>
        <v>388.91600731146156</v>
      </c>
      <c r="K95" s="37"/>
    </row>
    <row r="96" spans="1:11" x14ac:dyDescent="0.25">
      <c r="A96" s="23"/>
      <c r="B96" s="24"/>
      <c r="C96" s="24"/>
      <c r="D96" s="24"/>
      <c r="E96" s="24"/>
      <c r="F96" s="24"/>
      <c r="G96" s="22"/>
      <c r="H96" s="12"/>
      <c r="I96" s="22"/>
      <c r="J96" s="28"/>
      <c r="K96" s="22"/>
    </row>
    <row r="97" spans="1:11" x14ac:dyDescent="0.25">
      <c r="A97" s="14"/>
      <c r="B97" s="11"/>
      <c r="C97" s="11"/>
      <c r="D97" s="10" t="s">
        <v>60</v>
      </c>
      <c r="E97" s="10"/>
      <c r="F97" s="11"/>
      <c r="G97" s="22"/>
      <c r="H97" s="12"/>
      <c r="I97" s="22"/>
      <c r="J97" s="28"/>
      <c r="K97" s="22"/>
    </row>
    <row r="98" spans="1:11" x14ac:dyDescent="0.25">
      <c r="A98" s="14"/>
      <c r="B98" s="11"/>
      <c r="C98" s="11"/>
      <c r="D98" s="11"/>
      <c r="E98" s="11" t="s">
        <v>61</v>
      </c>
      <c r="F98" s="11"/>
      <c r="G98" s="22"/>
      <c r="H98" s="12">
        <v>0</v>
      </c>
      <c r="I98" s="22"/>
      <c r="J98" s="28">
        <f t="shared" si="0"/>
        <v>0</v>
      </c>
      <c r="K98" s="22"/>
    </row>
    <row r="99" spans="1:11" x14ac:dyDescent="0.25">
      <c r="A99" s="14"/>
      <c r="B99" s="11"/>
      <c r="C99" s="11"/>
      <c r="D99" s="11"/>
      <c r="E99" s="11" t="s">
        <v>62</v>
      </c>
      <c r="F99" s="11"/>
      <c r="G99" s="22"/>
      <c r="H99" s="12">
        <v>150</v>
      </c>
      <c r="I99" s="22"/>
      <c r="J99" s="28">
        <f t="shared" si="0"/>
        <v>5.4391181376459499E-3</v>
      </c>
      <c r="K99" s="22"/>
    </row>
    <row r="100" spans="1:11" x14ac:dyDescent="0.25">
      <c r="A100" s="23"/>
      <c r="B100" s="24"/>
      <c r="C100" s="24"/>
      <c r="D100" s="24"/>
      <c r="E100" s="24" t="s">
        <v>63</v>
      </c>
      <c r="F100" s="24"/>
      <c r="G100" s="22"/>
      <c r="H100" s="12">
        <v>0</v>
      </c>
      <c r="I100" s="22"/>
      <c r="J100" s="28">
        <f t="shared" si="0"/>
        <v>0</v>
      </c>
      <c r="K100" s="22"/>
    </row>
    <row r="101" spans="1:11" x14ac:dyDescent="0.25">
      <c r="A101" s="23"/>
      <c r="B101" s="24"/>
      <c r="C101" s="24"/>
      <c r="D101" s="24"/>
      <c r="E101" s="24" t="s">
        <v>38</v>
      </c>
      <c r="F101" s="24"/>
      <c r="G101" s="22"/>
      <c r="H101" s="12">
        <v>800</v>
      </c>
      <c r="I101" s="22"/>
      <c r="J101" s="28">
        <f t="shared" si="0"/>
        <v>2.9008630067445064E-2</v>
      </c>
      <c r="K101" s="22"/>
    </row>
    <row r="102" spans="1:11" x14ac:dyDescent="0.25">
      <c r="A102" s="23"/>
      <c r="B102" s="24"/>
      <c r="C102" s="24"/>
      <c r="D102" s="24"/>
      <c r="E102" s="24" t="s">
        <v>64</v>
      </c>
      <c r="F102" s="24"/>
      <c r="G102" s="22"/>
      <c r="H102" s="12">
        <v>0</v>
      </c>
      <c r="I102" s="22"/>
      <c r="J102" s="28">
        <f t="shared" si="0"/>
        <v>0</v>
      </c>
      <c r="K102" s="22"/>
    </row>
    <row r="103" spans="1:11" x14ac:dyDescent="0.25">
      <c r="A103" s="9"/>
      <c r="B103" s="10"/>
      <c r="C103" s="10"/>
      <c r="D103" s="10"/>
      <c r="E103" s="10"/>
      <c r="F103" s="10" t="s">
        <v>65</v>
      </c>
      <c r="G103" s="35"/>
      <c r="H103" s="18">
        <f>SUM(H98:H102)</f>
        <v>950</v>
      </c>
      <c r="I103" s="35"/>
      <c r="J103" s="41">
        <f t="shared" si="0"/>
        <v>3.4447748205091014E-2</v>
      </c>
      <c r="K103" s="35"/>
    </row>
    <row r="104" spans="1:11" x14ac:dyDescent="0.25">
      <c r="A104" s="23"/>
      <c r="B104" s="24"/>
      <c r="C104" s="24"/>
      <c r="D104" s="24"/>
      <c r="E104" s="24"/>
      <c r="F104" s="24"/>
      <c r="G104" s="22"/>
      <c r="H104" s="12"/>
      <c r="I104" s="22"/>
      <c r="J104" s="28"/>
      <c r="K104" s="22"/>
    </row>
    <row r="105" spans="1:11" x14ac:dyDescent="0.25">
      <c r="A105" s="23"/>
      <c r="B105" s="24"/>
      <c r="C105" s="24"/>
      <c r="D105" s="21" t="s">
        <v>66</v>
      </c>
      <c r="E105" s="21"/>
      <c r="F105" s="24"/>
      <c r="G105" s="22"/>
      <c r="H105" s="12"/>
      <c r="I105" s="22"/>
      <c r="J105" s="28"/>
      <c r="K105" s="22"/>
    </row>
    <row r="106" spans="1:11" x14ac:dyDescent="0.25">
      <c r="A106" s="23"/>
      <c r="B106" s="24"/>
      <c r="C106" s="24"/>
      <c r="D106" s="24"/>
      <c r="E106" s="24" t="s">
        <v>67</v>
      </c>
      <c r="F106" s="24"/>
      <c r="G106" s="22"/>
      <c r="H106" s="12">
        <v>1929.9543091360156</v>
      </c>
      <c r="I106" s="22"/>
      <c r="J106" s="28">
        <f t="shared" si="0"/>
        <v>6.9981663250997736E-2</v>
      </c>
      <c r="K106" s="22"/>
    </row>
    <row r="107" spans="1:11" x14ac:dyDescent="0.25">
      <c r="A107" s="23"/>
      <c r="B107" s="24"/>
      <c r="C107" s="24"/>
      <c r="D107" s="24"/>
      <c r="E107" s="24" t="s">
        <v>68</v>
      </c>
      <c r="F107" s="24"/>
      <c r="G107" s="22"/>
      <c r="H107" s="12">
        <v>231995.50020494015</v>
      </c>
      <c r="I107" s="22"/>
      <c r="J107" s="28">
        <f t="shared" si="0"/>
        <v>8.4123395534462304</v>
      </c>
      <c r="K107" s="22"/>
    </row>
    <row r="108" spans="1:11" x14ac:dyDescent="0.25">
      <c r="A108" s="23"/>
      <c r="B108" s="24"/>
      <c r="C108" s="24"/>
      <c r="D108" s="24"/>
      <c r="E108" s="24" t="s">
        <v>69</v>
      </c>
      <c r="F108" s="24"/>
      <c r="G108" s="22"/>
      <c r="H108" s="12">
        <v>38069.598101607167</v>
      </c>
      <c r="I108" s="22"/>
      <c r="J108" s="28">
        <f t="shared" si="0"/>
        <v>1.3804336101822889</v>
      </c>
      <c r="K108" s="22"/>
    </row>
    <row r="109" spans="1:11" x14ac:dyDescent="0.25">
      <c r="A109" s="23"/>
      <c r="B109" s="24"/>
      <c r="C109" s="24"/>
      <c r="D109" s="24"/>
      <c r="E109" s="24" t="s">
        <v>70</v>
      </c>
      <c r="F109" s="24"/>
      <c r="G109" s="22"/>
      <c r="H109" s="12">
        <v>42761.219458526582</v>
      </c>
      <c r="I109" s="22"/>
      <c r="J109" s="28">
        <f t="shared" si="0"/>
        <v>1.550555495631539</v>
      </c>
      <c r="K109" s="22"/>
    </row>
    <row r="110" spans="1:11" x14ac:dyDescent="0.25">
      <c r="A110" s="23"/>
      <c r="B110" s="24"/>
      <c r="C110" s="24"/>
      <c r="D110" s="24"/>
      <c r="E110" s="24" t="s">
        <v>71</v>
      </c>
      <c r="F110" s="24"/>
      <c r="G110" s="22"/>
      <c r="H110" s="12">
        <v>18862.070089526482</v>
      </c>
      <c r="I110" s="22"/>
      <c r="J110" s="28">
        <f t="shared" si="0"/>
        <v>0.68395351691661765</v>
      </c>
      <c r="K110" s="22"/>
    </row>
    <row r="111" spans="1:11" x14ac:dyDescent="0.25">
      <c r="A111" s="23"/>
      <c r="B111" s="24"/>
      <c r="C111" s="24"/>
      <c r="D111" s="24"/>
      <c r="E111" s="24" t="s">
        <v>72</v>
      </c>
      <c r="F111" s="24"/>
      <c r="G111" s="22"/>
      <c r="H111" s="12">
        <v>0</v>
      </c>
      <c r="I111" s="22"/>
      <c r="J111" s="28">
        <f t="shared" si="0"/>
        <v>0</v>
      </c>
      <c r="K111" s="22"/>
    </row>
    <row r="112" spans="1:11" x14ac:dyDescent="0.25">
      <c r="A112" s="23"/>
      <c r="B112" s="24"/>
      <c r="C112" s="24"/>
      <c r="D112" s="24"/>
      <c r="E112" s="24" t="s">
        <v>73</v>
      </c>
      <c r="F112" s="24"/>
      <c r="G112" s="22"/>
      <c r="H112" s="12">
        <v>18862.070089526482</v>
      </c>
      <c r="I112" s="22"/>
      <c r="J112" s="28">
        <f t="shared" si="0"/>
        <v>0.68395351691661765</v>
      </c>
      <c r="K112" s="22"/>
    </row>
    <row r="113" spans="1:11" x14ac:dyDescent="0.25">
      <c r="A113" s="23"/>
      <c r="B113" s="24"/>
      <c r="C113" s="24"/>
      <c r="D113" s="24"/>
      <c r="E113" s="24" t="s">
        <v>74</v>
      </c>
      <c r="F113" s="24"/>
      <c r="G113" s="22"/>
      <c r="H113" s="12">
        <v>3865.8579225542012</v>
      </c>
      <c r="I113" s="22"/>
      <c r="J113" s="28">
        <f t="shared" si="0"/>
        <v>0.14017905296084565</v>
      </c>
      <c r="K113" s="22"/>
    </row>
    <row r="114" spans="1:11" x14ac:dyDescent="0.25">
      <c r="A114" s="23"/>
      <c r="B114" s="24"/>
      <c r="C114" s="24"/>
      <c r="D114" s="24"/>
      <c r="E114" s="11" t="s">
        <v>75</v>
      </c>
      <c r="F114" s="11"/>
      <c r="G114" s="22"/>
      <c r="H114" s="12">
        <v>65929.000194153807</v>
      </c>
      <c r="I114" s="22"/>
      <c r="J114" s="28">
        <f t="shared" si="0"/>
        <v>2.3906374716859022</v>
      </c>
      <c r="K114" s="22"/>
    </row>
    <row r="115" spans="1:11" x14ac:dyDescent="0.25">
      <c r="A115" s="23"/>
      <c r="B115" s="24"/>
      <c r="C115" s="24"/>
      <c r="D115" s="24"/>
      <c r="E115" s="24" t="s">
        <v>76</v>
      </c>
      <c r="F115" s="24"/>
      <c r="G115" s="22"/>
      <c r="H115" s="12">
        <v>0</v>
      </c>
      <c r="I115" s="22"/>
      <c r="J115" s="28">
        <f t="shared" ref="J115:J117" si="1">+H115/$H$19</f>
        <v>0</v>
      </c>
      <c r="K115" s="22"/>
    </row>
    <row r="116" spans="1:11" x14ac:dyDescent="0.25">
      <c r="A116" s="23"/>
      <c r="B116" s="24"/>
      <c r="C116" s="24"/>
      <c r="D116" s="24"/>
      <c r="E116" s="24" t="s">
        <v>77</v>
      </c>
      <c r="F116" s="24"/>
      <c r="G116" s="22"/>
      <c r="H116" s="12">
        <v>46.404573400927617</v>
      </c>
      <c r="I116" s="22"/>
      <c r="J116" s="28">
        <f t="shared" si="1"/>
        <v>1.6826663790313881E-3</v>
      </c>
      <c r="K116" s="22"/>
    </row>
    <row r="117" spans="1:11" x14ac:dyDescent="0.25">
      <c r="A117" s="20"/>
      <c r="B117" s="21"/>
      <c r="C117" s="21"/>
      <c r="D117" s="21"/>
      <c r="E117" s="21"/>
      <c r="F117" s="21" t="s">
        <v>78</v>
      </c>
      <c r="G117" s="35"/>
      <c r="H117" s="18">
        <f>SUM(H106:H116)</f>
        <v>422321.67494337179</v>
      </c>
      <c r="I117" s="35"/>
      <c r="J117" s="41">
        <f t="shared" si="1"/>
        <v>15.31371654737007</v>
      </c>
      <c r="K117" s="35"/>
    </row>
    <row r="118" spans="1:11" x14ac:dyDescent="0.25">
      <c r="A118" s="23"/>
      <c r="B118" s="24"/>
      <c r="C118" s="24"/>
      <c r="D118" s="24"/>
      <c r="E118" s="24"/>
      <c r="F118" s="24"/>
      <c r="G118" s="22"/>
      <c r="H118" s="12"/>
      <c r="I118" s="22"/>
      <c r="J118" s="13"/>
      <c r="K118" s="22"/>
    </row>
    <row r="119" spans="1:11" x14ac:dyDescent="0.25">
      <c r="A119" s="20" t="s">
        <v>79</v>
      </c>
      <c r="B119" s="21"/>
      <c r="C119" s="21"/>
      <c r="D119" s="21"/>
      <c r="E119" s="21"/>
      <c r="F119" s="21"/>
      <c r="G119" s="35"/>
      <c r="H119" s="18">
        <f>H117+H103+H95+H74+H61</f>
        <v>12463081.445385788</v>
      </c>
      <c r="I119" s="35"/>
      <c r="J119" s="41">
        <f>+H119/$H$19</f>
        <v>451.9211489370436</v>
      </c>
      <c r="K119" s="35"/>
    </row>
    <row r="120" spans="1:11" x14ac:dyDescent="0.25">
      <c r="A120" s="23"/>
      <c r="B120" s="24"/>
      <c r="C120" s="24"/>
      <c r="D120" s="24"/>
      <c r="E120" s="24"/>
      <c r="F120" s="24"/>
      <c r="G120" s="22"/>
      <c r="H120" s="12"/>
      <c r="I120" s="22"/>
      <c r="J120" s="13"/>
      <c r="K120" s="22"/>
    </row>
    <row r="121" spans="1:11" x14ac:dyDescent="0.25">
      <c r="A121" s="20" t="s">
        <v>80</v>
      </c>
      <c r="B121" s="21"/>
      <c r="C121" s="21"/>
      <c r="D121" s="21"/>
      <c r="E121" s="21"/>
      <c r="F121" s="21"/>
      <c r="G121" s="35"/>
      <c r="H121" s="18">
        <f>H44-H119</f>
        <v>3328779.2721062154</v>
      </c>
      <c r="I121" s="35"/>
      <c r="J121" s="13"/>
      <c r="K121" s="35"/>
    </row>
    <row r="122" spans="1:11" x14ac:dyDescent="0.25">
      <c r="A122" s="14"/>
      <c r="B122" s="11"/>
      <c r="C122" s="11"/>
      <c r="D122" s="11" t="s">
        <v>81</v>
      </c>
      <c r="E122" s="11"/>
      <c r="F122" s="11"/>
      <c r="G122" s="22"/>
      <c r="H122" s="12">
        <v>-238550</v>
      </c>
      <c r="I122" s="22"/>
      <c r="J122" s="13"/>
      <c r="K122" s="22"/>
    </row>
    <row r="123" spans="1:11" x14ac:dyDescent="0.25">
      <c r="A123" s="23"/>
      <c r="B123" s="24"/>
      <c r="C123" s="24"/>
      <c r="D123" s="24"/>
      <c r="E123" s="24"/>
      <c r="F123" s="24"/>
      <c r="G123" s="22"/>
      <c r="H123" s="12"/>
      <c r="I123" s="22"/>
      <c r="J123" s="13"/>
      <c r="K123" s="22"/>
    </row>
    <row r="124" spans="1:11" x14ac:dyDescent="0.25">
      <c r="A124" s="20" t="s">
        <v>82</v>
      </c>
      <c r="B124" s="21"/>
      <c r="C124" s="21"/>
      <c r="D124" s="21"/>
      <c r="E124" s="21"/>
      <c r="F124" s="21"/>
      <c r="G124" s="35"/>
      <c r="H124" s="18">
        <f>SUM(H121:H123)</f>
        <v>3090229.2721062154</v>
      </c>
      <c r="I124" s="35"/>
      <c r="J124" s="13"/>
      <c r="K124" s="35"/>
    </row>
    <row r="125" spans="1:11" x14ac:dyDescent="0.25">
      <c r="A125" s="20"/>
      <c r="B125" s="21"/>
      <c r="C125" s="21"/>
      <c r="D125" s="21"/>
      <c r="E125" s="21"/>
      <c r="F125" s="21"/>
      <c r="G125" s="38"/>
      <c r="H125" s="27"/>
      <c r="I125" s="38"/>
      <c r="J125" s="13"/>
      <c r="K125" s="38"/>
    </row>
    <row r="127" spans="1:11" x14ac:dyDescent="0.25">
      <c r="G127" s="4"/>
      <c r="I127" s="4"/>
      <c r="K127" s="4"/>
    </row>
    <row r="128" spans="1:11" x14ac:dyDescent="0.25">
      <c r="A128" s="23"/>
      <c r="B128" s="24"/>
      <c r="C128" s="24"/>
      <c r="D128" s="21" t="s">
        <v>119</v>
      </c>
      <c r="E128" s="21"/>
      <c r="F128" s="24"/>
      <c r="G128" s="22"/>
      <c r="H128" s="12"/>
      <c r="I128" s="22"/>
      <c r="J128" s="28"/>
      <c r="K128" s="22"/>
    </row>
    <row r="129" spans="1:11" x14ac:dyDescent="0.25">
      <c r="A129" s="23"/>
      <c r="B129" s="24"/>
      <c r="C129" s="24"/>
      <c r="D129" s="24"/>
      <c r="E129" s="24" t="s">
        <v>121</v>
      </c>
      <c r="F129" s="24"/>
      <c r="G129" s="36"/>
      <c r="H129" s="12">
        <v>107016</v>
      </c>
      <c r="I129" s="36"/>
      <c r="J129" s="28">
        <f>+H129/365</f>
        <v>293.19452054794522</v>
      </c>
      <c r="K129" s="36"/>
    </row>
    <row r="130" spans="1:11" x14ac:dyDescent="0.25">
      <c r="A130" s="23"/>
      <c r="B130" s="24"/>
      <c r="C130" s="24"/>
      <c r="D130" s="24"/>
      <c r="E130" s="24" t="s">
        <v>44</v>
      </c>
      <c r="F130" s="24"/>
      <c r="G130" s="36"/>
      <c r="H130" s="12"/>
      <c r="I130" s="36"/>
      <c r="J130" s="28"/>
      <c r="K130" s="36"/>
    </row>
    <row r="131" spans="1:11" x14ac:dyDescent="0.25">
      <c r="A131" s="23"/>
      <c r="B131" s="24"/>
      <c r="C131" s="24"/>
      <c r="D131" s="24"/>
      <c r="E131" s="25"/>
      <c r="F131" s="24" t="s">
        <v>45</v>
      </c>
      <c r="G131" s="36"/>
      <c r="H131" s="12">
        <f>H129*0.05068</f>
        <v>5423.5708800000002</v>
      </c>
      <c r="I131" s="36"/>
      <c r="J131" s="28">
        <f t="shared" ref="J131:J138" si="2">+H131/365</f>
        <v>14.859098301369864</v>
      </c>
      <c r="K131" s="36"/>
    </row>
    <row r="132" spans="1:11" x14ac:dyDescent="0.25">
      <c r="A132" s="23"/>
      <c r="B132" s="24"/>
      <c r="C132" s="24"/>
      <c r="D132" s="24"/>
      <c r="E132" s="25"/>
      <c r="F132" s="24" t="s">
        <v>46</v>
      </c>
      <c r="G132" s="36"/>
      <c r="H132" s="12">
        <f>H129*-0.03341</f>
        <v>-3575.4045600000004</v>
      </c>
      <c r="I132" s="36"/>
      <c r="J132" s="28">
        <f t="shared" si="2"/>
        <v>-9.795628931506851</v>
      </c>
      <c r="K132" s="36"/>
    </row>
    <row r="133" spans="1:11" x14ac:dyDescent="0.25">
      <c r="A133" s="23"/>
      <c r="B133" s="24"/>
      <c r="C133" s="24"/>
      <c r="D133" s="24"/>
      <c r="E133" s="24"/>
      <c r="F133" s="24" t="s">
        <v>47</v>
      </c>
      <c r="G133" s="36"/>
      <c r="H133" s="12">
        <v>0</v>
      </c>
      <c r="I133" s="36"/>
      <c r="J133" s="28">
        <f t="shared" si="2"/>
        <v>0</v>
      </c>
      <c r="K133" s="36"/>
    </row>
    <row r="134" spans="1:11" x14ac:dyDescent="0.25">
      <c r="A134" s="23"/>
      <c r="B134" s="24"/>
      <c r="C134" s="24"/>
      <c r="D134" s="24"/>
      <c r="E134" s="24"/>
      <c r="F134" s="24" t="s">
        <v>48</v>
      </c>
      <c r="G134" s="36"/>
      <c r="H134" s="12">
        <f>H129*0.03379</f>
        <v>3616.0706399999999</v>
      </c>
      <c r="I134" s="36"/>
      <c r="J134" s="28">
        <f t="shared" si="2"/>
        <v>9.9070428493150686</v>
      </c>
      <c r="K134" s="36"/>
    </row>
    <row r="135" spans="1:11" x14ac:dyDescent="0.25">
      <c r="A135" s="23"/>
      <c r="B135" s="24"/>
      <c r="C135" s="24"/>
      <c r="D135" s="24"/>
      <c r="E135" s="24"/>
      <c r="F135" s="24" t="s">
        <v>49</v>
      </c>
      <c r="G135" s="36"/>
      <c r="H135" s="12">
        <v>0</v>
      </c>
      <c r="I135" s="36"/>
      <c r="J135" s="28">
        <f t="shared" si="2"/>
        <v>0</v>
      </c>
      <c r="K135" s="36"/>
    </row>
    <row r="136" spans="1:11" x14ac:dyDescent="0.25">
      <c r="A136" s="23"/>
      <c r="B136" s="24"/>
      <c r="C136" s="24"/>
      <c r="D136" s="24"/>
      <c r="E136" s="24"/>
      <c r="F136" s="24" t="s">
        <v>50</v>
      </c>
      <c r="G136" s="36"/>
      <c r="H136" s="12">
        <f>SUM(H131:H135)</f>
        <v>5464.2369600000002</v>
      </c>
      <c r="I136" s="36"/>
      <c r="J136" s="28">
        <f t="shared" si="2"/>
        <v>14.970512219178083</v>
      </c>
      <c r="K136" s="36"/>
    </row>
    <row r="137" spans="1:11" x14ac:dyDescent="0.25">
      <c r="A137" s="20"/>
      <c r="B137" s="21"/>
      <c r="C137" s="21"/>
      <c r="D137" s="21"/>
      <c r="E137" s="24" t="s">
        <v>51</v>
      </c>
      <c r="F137" s="24"/>
      <c r="G137" s="36"/>
      <c r="H137" s="12">
        <f>H129*0.0423</f>
        <v>4526.7767999999996</v>
      </c>
      <c r="I137" s="36"/>
      <c r="J137" s="28">
        <f t="shared" si="2"/>
        <v>12.402128219178081</v>
      </c>
      <c r="K137" s="36"/>
    </row>
    <row r="138" spans="1:11" x14ac:dyDescent="0.25">
      <c r="A138" s="23"/>
      <c r="B138" s="24"/>
      <c r="C138" s="24"/>
      <c r="D138" s="24"/>
      <c r="E138" s="24" t="s">
        <v>52</v>
      </c>
      <c r="F138" s="24"/>
      <c r="G138" s="36"/>
      <c r="H138" s="12">
        <f>H129*0.10561</f>
        <v>11301.95976</v>
      </c>
      <c r="I138" s="36"/>
      <c r="J138" s="28">
        <f t="shared" si="2"/>
        <v>30.964273315068493</v>
      </c>
      <c r="K138" s="36"/>
    </row>
    <row r="139" spans="1:11" x14ac:dyDescent="0.25">
      <c r="A139" s="20"/>
      <c r="B139" s="21"/>
      <c r="C139" s="21"/>
      <c r="D139" s="21"/>
      <c r="E139" s="21"/>
      <c r="F139" s="21" t="s">
        <v>120</v>
      </c>
      <c r="G139" s="37"/>
      <c r="H139" s="26">
        <f>SUM(H129:H138)-H136</f>
        <v>128308.97352000001</v>
      </c>
      <c r="I139" s="37"/>
      <c r="J139" s="41">
        <f>+H139/365</f>
        <v>351.53143430136993</v>
      </c>
      <c r="K139" s="37"/>
    </row>
  </sheetData>
  <mergeCells count="1">
    <mergeCell ref="J46:K4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view="pageBreakPreview" topLeftCell="A31" zoomScaleNormal="100" zoomScaleSheetLayoutView="100" workbookViewId="0">
      <selection activeCell="H50" sqref="H50:H51"/>
    </sheetView>
  </sheetViews>
  <sheetFormatPr defaultRowHeight="15" x14ac:dyDescent="0.25"/>
  <cols>
    <col min="1" max="1" width="10.42578125" customWidth="1"/>
    <col min="3" max="3" width="5.7109375" customWidth="1"/>
    <col min="5" max="5" width="5.5703125" customWidth="1"/>
    <col min="7" max="7" width="5.28515625" customWidth="1"/>
    <col min="8" max="8" width="18.140625" bestFit="1" customWidth="1"/>
    <col min="9" max="9" width="18.7109375" customWidth="1"/>
  </cols>
  <sheetData>
    <row r="1" spans="1:11" ht="18.75" x14ac:dyDescent="0.3">
      <c r="D1" s="43" t="s">
        <v>86</v>
      </c>
      <c r="E1" s="43"/>
      <c r="F1" s="43"/>
      <c r="G1" s="43"/>
      <c r="H1" s="43"/>
      <c r="I1" s="43"/>
    </row>
    <row r="4" spans="1:11" x14ac:dyDescent="0.25">
      <c r="E4" s="44" t="s">
        <v>107</v>
      </c>
      <c r="F4" s="44"/>
      <c r="G4" s="44" t="s">
        <v>108</v>
      </c>
    </row>
    <row r="5" spans="1:11" x14ac:dyDescent="0.25">
      <c r="E5" s="44" t="s">
        <v>109</v>
      </c>
      <c r="F5" s="44"/>
      <c r="G5" s="44"/>
    </row>
    <row r="6" spans="1:11" x14ac:dyDescent="0.25">
      <c r="D6" s="44"/>
      <c r="E6" s="44"/>
      <c r="F6" s="44"/>
      <c r="G6" s="44" t="s">
        <v>110</v>
      </c>
    </row>
    <row r="8" spans="1:11" x14ac:dyDescent="0.25">
      <c r="A8" s="45"/>
      <c r="B8" s="45"/>
      <c r="C8" s="45"/>
      <c r="D8" s="45"/>
      <c r="E8" s="45"/>
      <c r="F8" s="45"/>
      <c r="G8" s="45"/>
      <c r="H8" s="46"/>
      <c r="I8" s="46"/>
    </row>
    <row r="9" spans="1:11" ht="15" customHeight="1" x14ac:dyDescent="0.25">
      <c r="A9" s="76" t="s">
        <v>87</v>
      </c>
      <c r="B9" s="77"/>
      <c r="C9" s="77"/>
      <c r="D9" s="77"/>
      <c r="E9" s="77"/>
      <c r="F9" s="77"/>
      <c r="G9" s="78"/>
      <c r="H9" s="70" t="s">
        <v>88</v>
      </c>
      <c r="I9" s="72" t="s">
        <v>27</v>
      </c>
    </row>
    <row r="10" spans="1:11" x14ac:dyDescent="0.25">
      <c r="A10" s="79"/>
      <c r="B10" s="80"/>
      <c r="C10" s="80"/>
      <c r="D10" s="80"/>
      <c r="E10" s="80"/>
      <c r="F10" s="80"/>
      <c r="G10" s="81"/>
      <c r="H10" s="71"/>
      <c r="I10" s="73"/>
    </row>
    <row r="11" spans="1:11" x14ac:dyDescent="0.25">
      <c r="A11" s="47" t="s">
        <v>89</v>
      </c>
      <c r="B11" s="48"/>
      <c r="C11" s="48"/>
      <c r="D11" s="48"/>
      <c r="E11" s="48"/>
      <c r="F11" s="48"/>
      <c r="G11" s="49"/>
      <c r="H11" s="50">
        <f>NIA!J50*30.4166666666667</f>
        <v>109.65463110692109</v>
      </c>
      <c r="I11" s="73"/>
      <c r="K11">
        <f>+H11*(842/802.75)</f>
        <v>115.01613128872943</v>
      </c>
    </row>
    <row r="12" spans="1:11" x14ac:dyDescent="0.25">
      <c r="A12" s="47" t="s">
        <v>17</v>
      </c>
      <c r="B12" s="48"/>
      <c r="C12" s="48"/>
      <c r="D12" s="48"/>
      <c r="E12" s="48"/>
      <c r="F12" s="48"/>
      <c r="G12" s="49"/>
      <c r="H12" s="50">
        <f>NIA!J51*30.4166666666667</f>
        <v>13.235187468271826</v>
      </c>
      <c r="I12" s="73"/>
      <c r="K12">
        <f t="shared" ref="K12:K64" si="0">+H12*(842/802.75)</f>
        <v>13.882314354761604</v>
      </c>
    </row>
    <row r="13" spans="1:11" x14ac:dyDescent="0.25">
      <c r="A13" s="47" t="s">
        <v>18</v>
      </c>
      <c r="B13" s="48"/>
      <c r="C13" s="48"/>
      <c r="D13" s="48"/>
      <c r="E13" s="48"/>
      <c r="F13" s="48"/>
      <c r="G13" s="49"/>
      <c r="H13" s="50">
        <f>NIA!J52*30.4166666666667</f>
        <v>5.5223819711364186</v>
      </c>
      <c r="I13" s="73"/>
      <c r="K13">
        <f t="shared" si="0"/>
        <v>5.7923956645242782</v>
      </c>
    </row>
    <row r="14" spans="1:11" x14ac:dyDescent="0.25">
      <c r="A14" s="47" t="s">
        <v>21</v>
      </c>
      <c r="B14" s="48"/>
      <c r="C14" s="48"/>
      <c r="D14" s="48"/>
      <c r="E14" s="48"/>
      <c r="F14" s="48"/>
      <c r="G14" s="49"/>
      <c r="H14" s="50">
        <f>NIA!J55*30.4166666666667</f>
        <v>19.852781202407737</v>
      </c>
      <c r="I14" s="73"/>
      <c r="K14">
        <f t="shared" si="0"/>
        <v>20.823471532142403</v>
      </c>
    </row>
    <row r="15" spans="1:11" x14ac:dyDescent="0.25">
      <c r="A15" s="47" t="s">
        <v>90</v>
      </c>
      <c r="B15" s="48"/>
      <c r="C15" s="48"/>
      <c r="D15" s="48"/>
      <c r="E15" s="48"/>
      <c r="F15" s="48"/>
      <c r="G15" s="49"/>
      <c r="H15" s="50">
        <f>NIA!J56*30.4166666666667</f>
        <v>6.6175937341359132</v>
      </c>
      <c r="I15" s="73"/>
      <c r="K15">
        <f t="shared" si="0"/>
        <v>6.9411571773808021</v>
      </c>
    </row>
    <row r="16" spans="1:11" x14ac:dyDescent="0.25">
      <c r="A16" s="47" t="s">
        <v>24</v>
      </c>
      <c r="B16" s="48"/>
      <c r="C16" s="48"/>
      <c r="D16" s="48"/>
      <c r="E16" s="48"/>
      <c r="F16" s="48"/>
      <c r="G16" s="49"/>
      <c r="H16" s="50">
        <f>NIA!J58*30.4166666666667</f>
        <v>13.473420842700719</v>
      </c>
      <c r="I16" s="82"/>
      <c r="K16">
        <f t="shared" si="0"/>
        <v>14.132196013147313</v>
      </c>
    </row>
    <row r="17" spans="1:11" x14ac:dyDescent="0.25">
      <c r="A17" s="51" t="s">
        <v>91</v>
      </c>
      <c r="B17" s="52"/>
      <c r="C17" s="52"/>
      <c r="D17" s="52"/>
      <c r="E17" s="52"/>
      <c r="F17" s="52"/>
      <c r="G17" s="53"/>
      <c r="H17" s="74">
        <f>NIA!J53*30.4166666666667</f>
        <v>36.39676553774752</v>
      </c>
      <c r="I17" s="54"/>
      <c r="K17">
        <f t="shared" si="0"/>
        <v>38.176364475594404</v>
      </c>
    </row>
    <row r="18" spans="1:11" x14ac:dyDescent="0.25">
      <c r="A18" s="55"/>
      <c r="B18" s="56"/>
      <c r="C18" s="56"/>
      <c r="D18" s="56"/>
      <c r="E18" s="56"/>
      <c r="F18" s="56"/>
      <c r="G18" s="57"/>
      <c r="H18" s="75">
        <f>NIA!J59*30.4166666666667</f>
        <v>0</v>
      </c>
      <c r="I18" s="58">
        <f>SUM(H11:H17)</f>
        <v>204.75276186332121</v>
      </c>
      <c r="K18">
        <f t="shared" si="0"/>
        <v>0</v>
      </c>
    </row>
    <row r="19" spans="1:11" x14ac:dyDescent="0.25">
      <c r="K19">
        <f t="shared" si="0"/>
        <v>0</v>
      </c>
    </row>
    <row r="20" spans="1:11" ht="15" customHeight="1" x14ac:dyDescent="0.25">
      <c r="A20" s="76" t="s">
        <v>92</v>
      </c>
      <c r="B20" s="77"/>
      <c r="C20" s="77"/>
      <c r="D20" s="77"/>
      <c r="E20" s="77"/>
      <c r="F20" s="77"/>
      <c r="G20" s="78"/>
      <c r="H20" s="70" t="s">
        <v>88</v>
      </c>
      <c r="I20" s="72" t="s">
        <v>39</v>
      </c>
      <c r="K20" t="e">
        <f t="shared" si="0"/>
        <v>#VALUE!</v>
      </c>
    </row>
    <row r="21" spans="1:11" x14ac:dyDescent="0.25">
      <c r="A21" s="79"/>
      <c r="B21" s="80"/>
      <c r="C21" s="80"/>
      <c r="D21" s="80"/>
      <c r="E21" s="80"/>
      <c r="F21" s="80"/>
      <c r="G21" s="81"/>
      <c r="H21" s="71"/>
      <c r="I21" s="73"/>
      <c r="K21">
        <f t="shared" si="0"/>
        <v>0</v>
      </c>
    </row>
    <row r="22" spans="1:11" x14ac:dyDescent="0.25">
      <c r="A22" s="47" t="s">
        <v>29</v>
      </c>
      <c r="B22" s="48"/>
      <c r="C22" s="48"/>
      <c r="D22" s="48"/>
      <c r="E22" s="48"/>
      <c r="F22" s="48"/>
      <c r="G22" s="49"/>
      <c r="H22" s="50">
        <f>NIA!J64*30.4166666666667</f>
        <v>46.323156138951383</v>
      </c>
      <c r="I22" s="73"/>
      <c r="K22">
        <f t="shared" si="0"/>
        <v>48.5881002416656</v>
      </c>
    </row>
    <row r="23" spans="1:11" x14ac:dyDescent="0.25">
      <c r="A23" s="47" t="s">
        <v>93</v>
      </c>
      <c r="B23" s="48"/>
      <c r="C23" s="48"/>
      <c r="D23" s="48"/>
      <c r="E23" s="48"/>
      <c r="F23" s="48"/>
      <c r="G23" s="49"/>
      <c r="H23" s="50">
        <f>NIA!J65*30.4166666666667</f>
        <v>1016.5359148826369</v>
      </c>
      <c r="I23" s="73"/>
      <c r="K23">
        <f t="shared" si="0"/>
        <v>1066.2388543521399</v>
      </c>
    </row>
    <row r="24" spans="1:11" x14ac:dyDescent="0.25">
      <c r="A24" s="47" t="s">
        <v>31</v>
      </c>
      <c r="B24" s="48"/>
      <c r="C24" s="48"/>
      <c r="D24" s="48"/>
      <c r="E24" s="48"/>
      <c r="F24" s="48"/>
      <c r="G24" s="49"/>
      <c r="H24" s="50">
        <f>NIA!J66*30.4166666666667</f>
        <v>7.2793531075495039</v>
      </c>
      <c r="I24" s="73"/>
      <c r="K24">
        <f t="shared" si="0"/>
        <v>7.6352728951188817</v>
      </c>
    </row>
    <row r="25" spans="1:11" x14ac:dyDescent="0.25">
      <c r="A25" s="47" t="s">
        <v>32</v>
      </c>
      <c r="B25" s="48"/>
      <c r="C25" s="48"/>
      <c r="D25" s="48"/>
      <c r="E25" s="48"/>
      <c r="F25" s="48"/>
      <c r="G25" s="49"/>
      <c r="H25" s="50">
        <f>NIA!J67*30.4166666666667</f>
        <v>127.15706360142157</v>
      </c>
      <c r="I25" s="73"/>
      <c r="K25">
        <f t="shared" si="0"/>
        <v>133.37433516337211</v>
      </c>
    </row>
    <row r="26" spans="1:11" x14ac:dyDescent="0.25">
      <c r="A26" s="47" t="s">
        <v>33</v>
      </c>
      <c r="B26" s="48"/>
      <c r="C26" s="48"/>
      <c r="D26" s="48"/>
      <c r="E26" s="48"/>
      <c r="F26" s="48"/>
      <c r="G26" s="49"/>
      <c r="H26" s="50">
        <f>NIA!J68*30.4166666666667</f>
        <v>27.132134309957241</v>
      </c>
      <c r="I26" s="73"/>
      <c r="K26">
        <f t="shared" si="0"/>
        <v>28.458744427261284</v>
      </c>
    </row>
    <row r="27" spans="1:11" x14ac:dyDescent="0.25">
      <c r="A27" s="47" t="s">
        <v>34</v>
      </c>
      <c r="B27" s="48"/>
      <c r="C27" s="48"/>
      <c r="D27" s="48"/>
      <c r="E27" s="48"/>
      <c r="F27" s="48"/>
      <c r="G27" s="49"/>
      <c r="H27" s="50">
        <f>(SUM(NIA!J70:J73))*30.4166666666667</f>
        <v>20.386009883872241</v>
      </c>
      <c r="I27" s="82"/>
      <c r="K27">
        <f t="shared" si="0"/>
        <v>21.382772123600656</v>
      </c>
    </row>
    <row r="28" spans="1:11" x14ac:dyDescent="0.25">
      <c r="A28" s="51" t="s">
        <v>38</v>
      </c>
      <c r="B28" s="52"/>
      <c r="C28" s="52"/>
      <c r="D28" s="52"/>
      <c r="E28" s="52"/>
      <c r="F28" s="52"/>
      <c r="G28" s="53"/>
      <c r="H28" s="74"/>
      <c r="I28" s="54"/>
      <c r="K28">
        <f t="shared" si="0"/>
        <v>0</v>
      </c>
    </row>
    <row r="29" spans="1:11" x14ac:dyDescent="0.25">
      <c r="A29" s="55"/>
      <c r="B29" s="56"/>
      <c r="C29" s="56"/>
      <c r="D29" s="56"/>
      <c r="E29" s="56"/>
      <c r="F29" s="56"/>
      <c r="G29" s="57"/>
      <c r="H29" s="75"/>
      <c r="I29" s="58">
        <f>SUM(H22:H28)</f>
        <v>1244.813631924389</v>
      </c>
      <c r="K29">
        <f t="shared" si="0"/>
        <v>0</v>
      </c>
    </row>
    <row r="30" spans="1:11" x14ac:dyDescent="0.25">
      <c r="K30">
        <f t="shared" si="0"/>
        <v>0</v>
      </c>
    </row>
    <row r="31" spans="1:11" ht="15" customHeight="1" x14ac:dyDescent="0.25">
      <c r="A31" s="76" t="s">
        <v>94</v>
      </c>
      <c r="B31" s="77"/>
      <c r="C31" s="77"/>
      <c r="D31" s="77"/>
      <c r="E31" s="77"/>
      <c r="F31" s="77"/>
      <c r="G31" s="78"/>
      <c r="H31" s="70" t="s">
        <v>88</v>
      </c>
      <c r="I31" s="72" t="s">
        <v>59</v>
      </c>
      <c r="K31" t="e">
        <f t="shared" si="0"/>
        <v>#VALUE!</v>
      </c>
    </row>
    <row r="32" spans="1:11" x14ac:dyDescent="0.25">
      <c r="A32" s="79"/>
      <c r="B32" s="80"/>
      <c r="C32" s="80"/>
      <c r="D32" s="80"/>
      <c r="E32" s="80"/>
      <c r="F32" s="80"/>
      <c r="G32" s="81"/>
      <c r="H32" s="71"/>
      <c r="I32" s="73"/>
      <c r="K32">
        <f t="shared" si="0"/>
        <v>0</v>
      </c>
    </row>
    <row r="33" spans="1:11" x14ac:dyDescent="0.25">
      <c r="A33" s="47" t="s">
        <v>41</v>
      </c>
      <c r="B33" s="48"/>
      <c r="C33" s="48"/>
      <c r="D33" s="48"/>
      <c r="E33" s="48"/>
      <c r="F33" s="48"/>
      <c r="G33" s="49"/>
      <c r="H33" s="50">
        <f>(SUM(NIA!J77,NIA!J78,NIA!J79))*30.4166666666667</f>
        <v>9414.6798643571274</v>
      </c>
      <c r="I33" s="73"/>
      <c r="K33">
        <f t="shared" si="0"/>
        <v>9875.0052267688588</v>
      </c>
    </row>
    <row r="34" spans="1:11" x14ac:dyDescent="0.25">
      <c r="A34" s="47" t="s">
        <v>95</v>
      </c>
      <c r="B34" s="48"/>
      <c r="C34" s="48"/>
      <c r="D34" s="48"/>
      <c r="E34" s="48"/>
      <c r="F34" s="48"/>
      <c r="G34" s="49"/>
      <c r="H34" s="50">
        <f>(SUM(NIA!J86,NIA!J87,NIA!J88))*30.4166666666667</f>
        <v>1810.4759878830528</v>
      </c>
      <c r="I34" s="73"/>
      <c r="K34">
        <f t="shared" si="0"/>
        <v>1898.9981710339837</v>
      </c>
    </row>
    <row r="35" spans="1:11" x14ac:dyDescent="0.25">
      <c r="A35" s="47" t="s">
        <v>96</v>
      </c>
      <c r="B35" s="48"/>
      <c r="C35" s="48"/>
      <c r="D35" s="48"/>
      <c r="E35" s="48"/>
      <c r="F35" s="48"/>
      <c r="G35" s="49"/>
      <c r="H35" s="50">
        <f>NIA!J89*30.4166666666667</f>
        <v>12.242548408151439</v>
      </c>
      <c r="I35" s="73"/>
      <c r="K35">
        <f t="shared" si="0"/>
        <v>12.841140778154482</v>
      </c>
    </row>
    <row r="36" spans="1:11" x14ac:dyDescent="0.25">
      <c r="A36" s="47" t="s">
        <v>54</v>
      </c>
      <c r="B36" s="48"/>
      <c r="C36" s="48"/>
      <c r="D36" s="48"/>
      <c r="E36" s="48"/>
      <c r="F36" s="48"/>
      <c r="G36" s="49"/>
      <c r="H36" s="50">
        <f>NIA!J90*30.4166666666667</f>
        <v>518.62633560567656</v>
      </c>
      <c r="I36" s="73"/>
      <c r="K36">
        <f t="shared" si="0"/>
        <v>543.98427228898117</v>
      </c>
    </row>
    <row r="37" spans="1:11" x14ac:dyDescent="0.25">
      <c r="A37" s="51" t="s">
        <v>38</v>
      </c>
      <c r="B37" s="52"/>
      <c r="C37" s="52"/>
      <c r="D37" s="52"/>
      <c r="E37" s="52"/>
      <c r="F37" s="52"/>
      <c r="G37" s="53"/>
      <c r="H37" s="74">
        <f>NIA!J94*30.416666666667</f>
        <v>52.168697270771958</v>
      </c>
      <c r="I37" s="54"/>
      <c r="K37">
        <f t="shared" si="0"/>
        <v>54.719455748352523</v>
      </c>
    </row>
    <row r="38" spans="1:11" x14ac:dyDescent="0.25">
      <c r="A38" s="55"/>
      <c r="B38" s="56"/>
      <c r="C38" s="56"/>
      <c r="D38" s="56"/>
      <c r="E38" s="56"/>
      <c r="F38" s="56"/>
      <c r="G38" s="57"/>
      <c r="H38" s="75"/>
      <c r="I38" s="58">
        <f>SUM(H33:H38)</f>
        <v>11808.193433524781</v>
      </c>
      <c r="K38">
        <f t="shared" si="0"/>
        <v>0</v>
      </c>
    </row>
    <row r="39" spans="1:11" x14ac:dyDescent="0.25">
      <c r="A39" s="46"/>
      <c r="B39" s="46"/>
      <c r="C39" s="46"/>
      <c r="D39" s="46"/>
      <c r="E39" s="46"/>
      <c r="F39" s="46"/>
      <c r="G39" s="46"/>
      <c r="H39" s="65"/>
      <c r="I39" s="66"/>
      <c r="K39">
        <f t="shared" si="0"/>
        <v>0</v>
      </c>
    </row>
    <row r="40" spans="1:11" ht="15" customHeight="1" x14ac:dyDescent="0.25">
      <c r="A40" s="76" t="s">
        <v>122</v>
      </c>
      <c r="B40" s="77"/>
      <c r="C40" s="77"/>
      <c r="D40" s="77"/>
      <c r="E40" s="77"/>
      <c r="F40" s="77"/>
      <c r="G40" s="78"/>
      <c r="H40" s="70" t="s">
        <v>88</v>
      </c>
      <c r="I40" s="72" t="s">
        <v>65</v>
      </c>
      <c r="K40" t="e">
        <f t="shared" si="0"/>
        <v>#VALUE!</v>
      </c>
    </row>
    <row r="41" spans="1:11" x14ac:dyDescent="0.25">
      <c r="A41" s="79"/>
      <c r="B41" s="80"/>
      <c r="C41" s="80"/>
      <c r="D41" s="80"/>
      <c r="E41" s="80"/>
      <c r="F41" s="80"/>
      <c r="G41" s="81"/>
      <c r="H41" s="71"/>
      <c r="I41" s="73"/>
      <c r="K41">
        <f t="shared" si="0"/>
        <v>0</v>
      </c>
    </row>
    <row r="42" spans="1:11" x14ac:dyDescent="0.25">
      <c r="A42" s="47" t="s">
        <v>41</v>
      </c>
      <c r="B42" s="48"/>
      <c r="C42" s="48"/>
      <c r="D42" s="48"/>
      <c r="E42" s="48"/>
      <c r="F42" s="48"/>
      <c r="G42" s="49"/>
      <c r="H42" s="50">
        <f>NIA!J129*30.4166666666667</f>
        <v>8918.0000000000109</v>
      </c>
      <c r="I42" s="73"/>
      <c r="K42">
        <f t="shared" si="0"/>
        <v>9354.0404858299698</v>
      </c>
    </row>
    <row r="43" spans="1:11" x14ac:dyDescent="0.25">
      <c r="A43" s="47" t="s">
        <v>95</v>
      </c>
      <c r="B43" s="52"/>
      <c r="C43" s="52"/>
      <c r="D43" s="52"/>
      <c r="E43" s="52"/>
      <c r="F43" s="52"/>
      <c r="G43" s="53"/>
      <c r="H43" s="67">
        <f>SUM(NIA!J136,NIA!J137,NIA!J138)*30.4166666666667</f>
        <v>1774.4144600000018</v>
      </c>
      <c r="I43" s="61"/>
      <c r="K43">
        <f t="shared" si="0"/>
        <v>1861.1734354655889</v>
      </c>
    </row>
    <row r="44" spans="1:11" x14ac:dyDescent="0.25">
      <c r="A44" s="51" t="s">
        <v>99</v>
      </c>
      <c r="B44" s="52"/>
      <c r="C44" s="52"/>
      <c r="D44" s="52"/>
      <c r="E44" s="52"/>
      <c r="F44" s="52"/>
      <c r="G44" s="53"/>
      <c r="H44" s="74"/>
      <c r="I44" s="54"/>
      <c r="K44">
        <f t="shared" si="0"/>
        <v>0</v>
      </c>
    </row>
    <row r="45" spans="1:11" x14ac:dyDescent="0.25">
      <c r="A45" s="55"/>
      <c r="B45" s="56"/>
      <c r="C45" s="56"/>
      <c r="D45" s="56"/>
      <c r="E45" s="56"/>
      <c r="F45" s="56"/>
      <c r="G45" s="57"/>
      <c r="H45" s="75"/>
      <c r="I45" s="58">
        <f>SUM(H40:H44)</f>
        <v>10692.414460000013</v>
      </c>
      <c r="K45">
        <f t="shared" si="0"/>
        <v>0</v>
      </c>
    </row>
    <row r="46" spans="1:11" x14ac:dyDescent="0.25">
      <c r="K46">
        <f t="shared" si="0"/>
        <v>0</v>
      </c>
    </row>
    <row r="47" spans="1:11" ht="15" customHeight="1" x14ac:dyDescent="0.25">
      <c r="A47" s="76" t="s">
        <v>97</v>
      </c>
      <c r="B47" s="77"/>
      <c r="C47" s="77"/>
      <c r="D47" s="77"/>
      <c r="E47" s="77"/>
      <c r="F47" s="77"/>
      <c r="G47" s="78"/>
      <c r="H47" s="70" t="s">
        <v>88</v>
      </c>
      <c r="I47" s="72" t="s">
        <v>65</v>
      </c>
      <c r="K47" t="e">
        <f t="shared" si="0"/>
        <v>#VALUE!</v>
      </c>
    </row>
    <row r="48" spans="1:11" x14ac:dyDescent="0.25">
      <c r="A48" s="79"/>
      <c r="B48" s="80"/>
      <c r="C48" s="80"/>
      <c r="D48" s="80"/>
      <c r="E48" s="80"/>
      <c r="F48" s="80"/>
      <c r="G48" s="81"/>
      <c r="H48" s="71"/>
      <c r="I48" s="73"/>
      <c r="K48">
        <f t="shared" si="0"/>
        <v>0</v>
      </c>
    </row>
    <row r="49" spans="1:11" x14ac:dyDescent="0.25">
      <c r="A49" t="s">
        <v>98</v>
      </c>
      <c r="B49" s="48"/>
      <c r="C49" s="48"/>
      <c r="D49" s="48"/>
      <c r="E49" s="48"/>
      <c r="F49" s="48"/>
      <c r="G49" s="49"/>
      <c r="H49" s="50">
        <f>NIA!J103*30.4166666666667</f>
        <v>1.0477856745715195</v>
      </c>
      <c r="I49" s="73"/>
      <c r="K49">
        <f t="shared" si="0"/>
        <v>1.0990165530852936</v>
      </c>
    </row>
    <row r="50" spans="1:11" x14ac:dyDescent="0.25">
      <c r="A50" s="51" t="s">
        <v>99</v>
      </c>
      <c r="B50" s="52"/>
      <c r="C50" s="52"/>
      <c r="D50" s="52"/>
      <c r="E50" s="52"/>
      <c r="F50" s="52"/>
      <c r="G50" s="53"/>
      <c r="H50" s="74"/>
      <c r="I50" s="54"/>
      <c r="K50">
        <f t="shared" si="0"/>
        <v>0</v>
      </c>
    </row>
    <row r="51" spans="1:11" x14ac:dyDescent="0.25">
      <c r="A51" s="55"/>
      <c r="B51" s="56"/>
      <c r="C51" s="56"/>
      <c r="D51" s="56"/>
      <c r="E51" s="56"/>
      <c r="F51" s="56"/>
      <c r="G51" s="57"/>
      <c r="H51" s="75"/>
      <c r="I51" s="58">
        <f>SUM(H47:H50)</f>
        <v>1.0477856745715195</v>
      </c>
      <c r="K51">
        <f t="shared" si="0"/>
        <v>0</v>
      </c>
    </row>
    <row r="52" spans="1:11" x14ac:dyDescent="0.25">
      <c r="K52">
        <f t="shared" si="0"/>
        <v>0</v>
      </c>
    </row>
    <row r="53" spans="1:11" ht="15" customHeight="1" x14ac:dyDescent="0.25">
      <c r="A53" s="76" t="s">
        <v>100</v>
      </c>
      <c r="B53" s="77"/>
      <c r="C53" s="77"/>
      <c r="D53" s="77"/>
      <c r="E53" s="77"/>
      <c r="F53" s="77"/>
      <c r="G53" s="78"/>
      <c r="H53" s="83" t="s">
        <v>88</v>
      </c>
      <c r="I53" s="72" t="s">
        <v>101</v>
      </c>
      <c r="K53" t="e">
        <f t="shared" si="0"/>
        <v>#VALUE!</v>
      </c>
    </row>
    <row r="54" spans="1:11" x14ac:dyDescent="0.25">
      <c r="A54" s="79"/>
      <c r="B54" s="80"/>
      <c r="C54" s="80"/>
      <c r="D54" s="80"/>
      <c r="E54" s="80"/>
      <c r="F54" s="80"/>
      <c r="G54" s="81"/>
      <c r="H54" s="84"/>
      <c r="I54" s="73"/>
      <c r="K54">
        <f t="shared" si="0"/>
        <v>0</v>
      </c>
    </row>
    <row r="55" spans="1:11" x14ac:dyDescent="0.25">
      <c r="A55" s="47" t="s">
        <v>67</v>
      </c>
      <c r="B55" s="48"/>
      <c r="C55" s="48"/>
      <c r="D55" s="48"/>
      <c r="E55" s="48"/>
      <c r="F55" s="48"/>
      <c r="G55" s="49"/>
      <c r="H55" s="50">
        <f>NIA!J106*30.4166666666667</f>
        <v>2.1286089238845167</v>
      </c>
      <c r="I55" s="73"/>
      <c r="K55">
        <f t="shared" si="0"/>
        <v>2.2326860341460768</v>
      </c>
    </row>
    <row r="56" spans="1:11" x14ac:dyDescent="0.25">
      <c r="A56" s="47" t="s">
        <v>68</v>
      </c>
      <c r="B56" s="48"/>
      <c r="C56" s="48"/>
      <c r="D56" s="48"/>
      <c r="E56" s="48"/>
      <c r="F56" s="48"/>
      <c r="G56" s="49"/>
      <c r="H56" s="50">
        <f>NIA!J107*30.4166666666667</f>
        <v>255.87532808398979</v>
      </c>
      <c r="I56" s="73"/>
      <c r="K56">
        <f t="shared" si="0"/>
        <v>268.38620522792826</v>
      </c>
    </row>
    <row r="57" spans="1:11" x14ac:dyDescent="0.25">
      <c r="A57" s="47" t="s">
        <v>102</v>
      </c>
      <c r="B57" s="48"/>
      <c r="C57" s="48"/>
      <c r="D57" s="48"/>
      <c r="E57" s="48"/>
      <c r="F57" s="48"/>
      <c r="G57" s="49"/>
      <c r="H57" s="50">
        <f>NIA!J108*30.4166666666667</f>
        <v>41.988188976377998</v>
      </c>
      <c r="I57" s="73"/>
      <c r="K57">
        <f t="shared" si="0"/>
        <v>44.041177350495516</v>
      </c>
    </row>
    <row r="58" spans="1:11" x14ac:dyDescent="0.25">
      <c r="A58" s="47" t="s">
        <v>103</v>
      </c>
      <c r="B58" s="48"/>
      <c r="C58" s="48"/>
      <c r="D58" s="48"/>
      <c r="E58" s="48"/>
      <c r="F58" s="48"/>
      <c r="G58" s="49"/>
      <c r="H58" s="50">
        <f>NIA!J109*30.4166666666667</f>
        <v>47.162729658792699</v>
      </c>
      <c r="I58" s="73"/>
      <c r="K58">
        <f t="shared" si="0"/>
        <v>49.468724226351235</v>
      </c>
    </row>
    <row r="59" spans="1:11" x14ac:dyDescent="0.25">
      <c r="A59" s="47" t="s">
        <v>104</v>
      </c>
      <c r="B59" s="48"/>
      <c r="C59" s="48"/>
      <c r="D59" s="48"/>
      <c r="E59" s="48"/>
      <c r="F59" s="48"/>
      <c r="G59" s="49"/>
      <c r="H59" s="50">
        <f>NIA!J110*30.4166666666667</f>
        <v>20.803586139547143</v>
      </c>
      <c r="I59" s="73"/>
      <c r="K59">
        <f t="shared" si="0"/>
        <v>21.820765530362745</v>
      </c>
    </row>
    <row r="60" spans="1:11" x14ac:dyDescent="0.25">
      <c r="A60" s="47" t="s">
        <v>75</v>
      </c>
      <c r="B60" s="48"/>
      <c r="C60" s="48"/>
      <c r="D60" s="48"/>
      <c r="E60" s="48"/>
      <c r="F60" s="48"/>
      <c r="G60" s="49"/>
      <c r="H60" s="50">
        <f>NIA!J114*30.4166666666667</f>
        <v>72.71522309711294</v>
      </c>
      <c r="I60" s="82"/>
      <c r="K60">
        <f t="shared" si="0"/>
        <v>76.270592149198492</v>
      </c>
    </row>
    <row r="61" spans="1:11" x14ac:dyDescent="0.25">
      <c r="A61" s="51" t="s">
        <v>91</v>
      </c>
      <c r="B61" s="52"/>
      <c r="C61" s="52"/>
      <c r="D61" s="52"/>
      <c r="E61" s="52"/>
      <c r="F61" s="52"/>
      <c r="G61" s="53"/>
      <c r="H61" s="74">
        <f>SUM(NIA!J111,NIA!J112,NIA!J113,NIA!J115,NIA!J116)*30.4166666666667</f>
        <v>25.118546769468406</v>
      </c>
      <c r="I61" s="85">
        <f>SUM(H55:H62)</f>
        <v>465.79221164917351</v>
      </c>
      <c r="K61">
        <f t="shared" si="0"/>
        <v>26.34670368096219</v>
      </c>
    </row>
    <row r="62" spans="1:11" x14ac:dyDescent="0.25">
      <c r="A62" s="55"/>
      <c r="B62" s="56"/>
      <c r="C62" s="56"/>
      <c r="D62" s="56"/>
      <c r="E62" s="56"/>
      <c r="F62" s="56"/>
      <c r="G62" s="57"/>
      <c r="H62" s="75"/>
      <c r="I62" s="86"/>
      <c r="K62">
        <f t="shared" si="0"/>
        <v>0</v>
      </c>
    </row>
    <row r="63" spans="1:11" x14ac:dyDescent="0.25">
      <c r="H63" s="52"/>
      <c r="I63" s="53"/>
      <c r="K63">
        <f t="shared" si="0"/>
        <v>0</v>
      </c>
    </row>
    <row r="64" spans="1:11" x14ac:dyDescent="0.25">
      <c r="H64" s="59">
        <f>I64/30.4166666667</f>
        <v>802.75115456250387</v>
      </c>
      <c r="I64" s="59">
        <f>I18+I29+I51+I38+I61+I45</f>
        <v>24417.014284636251</v>
      </c>
      <c r="K64">
        <f t="shared" si="0"/>
        <v>842.00121101417403</v>
      </c>
    </row>
    <row r="65" spans="8:9" x14ac:dyDescent="0.25">
      <c r="H65" s="60" t="s">
        <v>105</v>
      </c>
      <c r="I65" s="60" t="s">
        <v>106</v>
      </c>
    </row>
  </sheetData>
  <mergeCells count="25">
    <mergeCell ref="H50:H51"/>
    <mergeCell ref="A53:G54"/>
    <mergeCell ref="H53:H54"/>
    <mergeCell ref="I53:I60"/>
    <mergeCell ref="H61:H62"/>
    <mergeCell ref="I61:I62"/>
    <mergeCell ref="H28:H29"/>
    <mergeCell ref="A31:G32"/>
    <mergeCell ref="H31:H32"/>
    <mergeCell ref="I31:I36"/>
    <mergeCell ref="H37:H38"/>
    <mergeCell ref="A9:G10"/>
    <mergeCell ref="H9:H10"/>
    <mergeCell ref="I9:I16"/>
    <mergeCell ref="H17:H18"/>
    <mergeCell ref="A20:G21"/>
    <mergeCell ref="H20:H21"/>
    <mergeCell ref="I20:I27"/>
    <mergeCell ref="H40:H41"/>
    <mergeCell ref="I40:I42"/>
    <mergeCell ref="H44:H45"/>
    <mergeCell ref="A47:G48"/>
    <mergeCell ref="H47:H48"/>
    <mergeCell ref="I47:I49"/>
    <mergeCell ref="A40:G41"/>
  </mergeCells>
  <pageMargins left="0.7" right="0.7" top="0.75" bottom="0.75" header="0.3" footer="0.3"/>
  <pageSetup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49" workbookViewId="0">
      <selection activeCell="I64" sqref="I64"/>
    </sheetView>
  </sheetViews>
  <sheetFormatPr defaultRowHeight="15" x14ac:dyDescent="0.25"/>
  <cols>
    <col min="1" max="1" width="10.42578125" customWidth="1"/>
    <col min="3" max="3" width="5.7109375" customWidth="1"/>
    <col min="5" max="5" width="5.5703125" customWidth="1"/>
    <col min="7" max="7" width="5.28515625" customWidth="1"/>
    <col min="8" max="8" width="18.140625" bestFit="1" customWidth="1"/>
    <col min="9" max="9" width="18.7109375" customWidth="1"/>
  </cols>
  <sheetData>
    <row r="1" spans="1:9" ht="18.75" x14ac:dyDescent="0.3">
      <c r="D1" s="43" t="s">
        <v>86</v>
      </c>
      <c r="E1" s="43"/>
      <c r="F1" s="43"/>
      <c r="G1" s="43"/>
      <c r="H1" s="43"/>
      <c r="I1" s="43"/>
    </row>
    <row r="4" spans="1:9" x14ac:dyDescent="0.25">
      <c r="E4" s="44" t="s">
        <v>107</v>
      </c>
      <c r="F4" s="44"/>
      <c r="G4" s="44" t="s">
        <v>108</v>
      </c>
    </row>
    <row r="5" spans="1:9" x14ac:dyDescent="0.25">
      <c r="E5" s="44" t="s">
        <v>109</v>
      </c>
      <c r="F5" s="44"/>
      <c r="G5" s="44"/>
      <c r="H5" t="s">
        <v>123</v>
      </c>
    </row>
    <row r="6" spans="1:9" x14ac:dyDescent="0.25">
      <c r="D6" s="44"/>
      <c r="E6" s="44"/>
      <c r="F6" s="44"/>
      <c r="G6" s="44" t="s">
        <v>110</v>
      </c>
    </row>
    <row r="8" spans="1:9" x14ac:dyDescent="0.25">
      <c r="A8" s="45"/>
      <c r="B8" s="45"/>
      <c r="C8" s="45"/>
      <c r="D8" s="45"/>
      <c r="E8" s="45"/>
      <c r="F8" s="45"/>
      <c r="G8" s="45"/>
      <c r="H8" s="46"/>
      <c r="I8" s="46"/>
    </row>
    <row r="9" spans="1:9" ht="15" customHeight="1" x14ac:dyDescent="0.25">
      <c r="A9" s="76" t="s">
        <v>87</v>
      </c>
      <c r="B9" s="77"/>
      <c r="C9" s="77"/>
      <c r="D9" s="77"/>
      <c r="E9" s="77"/>
      <c r="F9" s="77"/>
      <c r="G9" s="78"/>
      <c r="H9" s="70" t="s">
        <v>88</v>
      </c>
      <c r="I9" s="72" t="s">
        <v>27</v>
      </c>
    </row>
    <row r="10" spans="1:9" x14ac:dyDescent="0.25">
      <c r="A10" s="79"/>
      <c r="B10" s="80"/>
      <c r="C10" s="80"/>
      <c r="D10" s="80"/>
      <c r="E10" s="80"/>
      <c r="F10" s="80"/>
      <c r="G10" s="81"/>
      <c r="H10" s="71"/>
      <c r="I10" s="73"/>
    </row>
    <row r="11" spans="1:9" x14ac:dyDescent="0.25">
      <c r="A11" s="47" t="s">
        <v>89</v>
      </c>
      <c r="B11" s="48"/>
      <c r="C11" s="48"/>
      <c r="D11" s="48"/>
      <c r="E11" s="48"/>
      <c r="F11" s="48"/>
      <c r="G11" s="49"/>
      <c r="H11" s="50">
        <f>+'Rate Sheet'!K11</f>
        <v>115.01613128872943</v>
      </c>
      <c r="I11" s="73"/>
    </row>
    <row r="12" spans="1:9" x14ac:dyDescent="0.25">
      <c r="A12" s="47" t="s">
        <v>17</v>
      </c>
      <c r="B12" s="48"/>
      <c r="C12" s="48"/>
      <c r="D12" s="48"/>
      <c r="E12" s="48"/>
      <c r="F12" s="48"/>
      <c r="G12" s="49"/>
      <c r="H12" s="50">
        <f>+'Rate Sheet'!K12</f>
        <v>13.882314354761604</v>
      </c>
      <c r="I12" s="73"/>
    </row>
    <row r="13" spans="1:9" x14ac:dyDescent="0.25">
      <c r="A13" s="47" t="s">
        <v>18</v>
      </c>
      <c r="B13" s="48"/>
      <c r="C13" s="48"/>
      <c r="D13" s="48"/>
      <c r="E13" s="48"/>
      <c r="F13" s="48"/>
      <c r="G13" s="49"/>
      <c r="H13" s="50">
        <f>+'Rate Sheet'!K13</f>
        <v>5.7923956645242782</v>
      </c>
      <c r="I13" s="73"/>
    </row>
    <row r="14" spans="1:9" x14ac:dyDescent="0.25">
      <c r="A14" s="47" t="s">
        <v>21</v>
      </c>
      <c r="B14" s="48"/>
      <c r="C14" s="48"/>
      <c r="D14" s="48"/>
      <c r="E14" s="48"/>
      <c r="F14" s="48"/>
      <c r="G14" s="49"/>
      <c r="H14" s="50">
        <f>+'Rate Sheet'!K14</f>
        <v>20.823471532142403</v>
      </c>
      <c r="I14" s="73"/>
    </row>
    <row r="15" spans="1:9" x14ac:dyDescent="0.25">
      <c r="A15" s="47" t="s">
        <v>90</v>
      </c>
      <c r="B15" s="48"/>
      <c r="C15" s="48"/>
      <c r="D15" s="48"/>
      <c r="E15" s="48"/>
      <c r="F15" s="48"/>
      <c r="G15" s="49"/>
      <c r="H15" s="50">
        <f>+'Rate Sheet'!K15</f>
        <v>6.9411571773808021</v>
      </c>
      <c r="I15" s="73"/>
    </row>
    <row r="16" spans="1:9" x14ac:dyDescent="0.25">
      <c r="A16" s="47" t="s">
        <v>24</v>
      </c>
      <c r="B16" s="48"/>
      <c r="C16" s="48"/>
      <c r="D16" s="48"/>
      <c r="E16" s="48"/>
      <c r="F16" s="48"/>
      <c r="G16" s="49"/>
      <c r="H16" s="50">
        <f>+'Rate Sheet'!K16</f>
        <v>14.132196013147313</v>
      </c>
      <c r="I16" s="82"/>
    </row>
    <row r="17" spans="1:9" x14ac:dyDescent="0.25">
      <c r="A17" s="51" t="s">
        <v>91</v>
      </c>
      <c r="B17" s="52"/>
      <c r="C17" s="52"/>
      <c r="D17" s="52"/>
      <c r="E17" s="52"/>
      <c r="F17" s="52"/>
      <c r="G17" s="53"/>
      <c r="H17" s="74">
        <f>+'Rate Sheet'!K17</f>
        <v>38.176364475594404</v>
      </c>
      <c r="I17" s="54"/>
    </row>
    <row r="18" spans="1:9" x14ac:dyDescent="0.25">
      <c r="A18" s="55"/>
      <c r="B18" s="56"/>
      <c r="C18" s="56"/>
      <c r="D18" s="56"/>
      <c r="E18" s="56"/>
      <c r="F18" s="56"/>
      <c r="G18" s="57"/>
      <c r="H18" s="75">
        <f>NIA!J59*30.4166666666667</f>
        <v>0</v>
      </c>
      <c r="I18" s="58">
        <f>SUM(H11:H17)</f>
        <v>214.76403050628022</v>
      </c>
    </row>
    <row r="20" spans="1:9" ht="15" customHeight="1" x14ac:dyDescent="0.25">
      <c r="A20" s="76" t="s">
        <v>92</v>
      </c>
      <c r="B20" s="77"/>
      <c r="C20" s="77"/>
      <c r="D20" s="77"/>
      <c r="E20" s="77"/>
      <c r="F20" s="77"/>
      <c r="G20" s="78"/>
      <c r="H20" s="70" t="s">
        <v>88</v>
      </c>
      <c r="I20" s="72" t="s">
        <v>39</v>
      </c>
    </row>
    <row r="21" spans="1:9" x14ac:dyDescent="0.25">
      <c r="A21" s="79"/>
      <c r="B21" s="80"/>
      <c r="C21" s="80"/>
      <c r="D21" s="80"/>
      <c r="E21" s="80"/>
      <c r="F21" s="80"/>
      <c r="G21" s="81"/>
      <c r="H21" s="71"/>
      <c r="I21" s="73"/>
    </row>
    <row r="22" spans="1:9" x14ac:dyDescent="0.25">
      <c r="A22" s="47" t="s">
        <v>29</v>
      </c>
      <c r="B22" s="48"/>
      <c r="C22" s="48"/>
      <c r="D22" s="48"/>
      <c r="E22" s="48"/>
      <c r="F22" s="48"/>
      <c r="G22" s="49"/>
      <c r="H22" s="50">
        <f>+'Rate Sheet'!K22</f>
        <v>48.5881002416656</v>
      </c>
      <c r="I22" s="73"/>
    </row>
    <row r="23" spans="1:9" x14ac:dyDescent="0.25">
      <c r="A23" s="47" t="s">
        <v>93</v>
      </c>
      <c r="B23" s="48"/>
      <c r="C23" s="48"/>
      <c r="D23" s="48"/>
      <c r="E23" s="48"/>
      <c r="F23" s="48"/>
      <c r="G23" s="49"/>
      <c r="H23" s="50">
        <f>+'Rate Sheet'!K23</f>
        <v>1066.2388543521399</v>
      </c>
      <c r="I23" s="73"/>
    </row>
    <row r="24" spans="1:9" x14ac:dyDescent="0.25">
      <c r="A24" s="47" t="s">
        <v>31</v>
      </c>
      <c r="B24" s="48"/>
      <c r="C24" s="48"/>
      <c r="D24" s="48"/>
      <c r="E24" s="48"/>
      <c r="F24" s="48"/>
      <c r="G24" s="49"/>
      <c r="H24" s="50">
        <f>+'Rate Sheet'!K24</f>
        <v>7.6352728951188817</v>
      </c>
      <c r="I24" s="73"/>
    </row>
    <row r="25" spans="1:9" x14ac:dyDescent="0.25">
      <c r="A25" s="47" t="s">
        <v>32</v>
      </c>
      <c r="B25" s="48"/>
      <c r="C25" s="48"/>
      <c r="D25" s="48"/>
      <c r="E25" s="48"/>
      <c r="F25" s="48"/>
      <c r="G25" s="49"/>
      <c r="H25" s="50">
        <f>+'Rate Sheet'!K25</f>
        <v>133.37433516337211</v>
      </c>
      <c r="I25" s="73"/>
    </row>
    <row r="26" spans="1:9" x14ac:dyDescent="0.25">
      <c r="A26" s="47" t="s">
        <v>33</v>
      </c>
      <c r="B26" s="48"/>
      <c r="C26" s="48"/>
      <c r="D26" s="48"/>
      <c r="E26" s="48"/>
      <c r="F26" s="48"/>
      <c r="G26" s="49"/>
      <c r="H26" s="50">
        <f>+'Rate Sheet'!K26</f>
        <v>28.458744427261284</v>
      </c>
      <c r="I26" s="73"/>
    </row>
    <row r="27" spans="1:9" x14ac:dyDescent="0.25">
      <c r="A27" s="47" t="s">
        <v>34</v>
      </c>
      <c r="B27" s="48"/>
      <c r="C27" s="48"/>
      <c r="D27" s="48"/>
      <c r="E27" s="48"/>
      <c r="F27" s="48"/>
      <c r="G27" s="49"/>
      <c r="H27" s="50">
        <f>+'Rate Sheet'!K27</f>
        <v>21.382772123600656</v>
      </c>
      <c r="I27" s="82"/>
    </row>
    <row r="28" spans="1:9" x14ac:dyDescent="0.25">
      <c r="A28" s="51" t="s">
        <v>38</v>
      </c>
      <c r="B28" s="52"/>
      <c r="C28" s="52"/>
      <c r="D28" s="52"/>
      <c r="E28" s="52"/>
      <c r="F28" s="52"/>
      <c r="G28" s="53"/>
      <c r="H28" s="74"/>
      <c r="I28" s="54"/>
    </row>
    <row r="29" spans="1:9" x14ac:dyDescent="0.25">
      <c r="A29" s="55"/>
      <c r="B29" s="56"/>
      <c r="C29" s="56"/>
      <c r="D29" s="56"/>
      <c r="E29" s="56"/>
      <c r="F29" s="56"/>
      <c r="G29" s="57"/>
      <c r="H29" s="75"/>
      <c r="I29" s="58">
        <f>SUM(H22:H28)</f>
        <v>1305.6780792031586</v>
      </c>
    </row>
    <row r="31" spans="1:9" ht="15" customHeight="1" x14ac:dyDescent="0.25">
      <c r="A31" s="76" t="s">
        <v>94</v>
      </c>
      <c r="B31" s="77"/>
      <c r="C31" s="77"/>
      <c r="D31" s="77"/>
      <c r="E31" s="77"/>
      <c r="F31" s="77"/>
      <c r="G31" s="78"/>
      <c r="H31" s="70" t="s">
        <v>88</v>
      </c>
      <c r="I31" s="72" t="s">
        <v>59</v>
      </c>
    </row>
    <row r="32" spans="1:9" x14ac:dyDescent="0.25">
      <c r="A32" s="79"/>
      <c r="B32" s="80"/>
      <c r="C32" s="80"/>
      <c r="D32" s="80"/>
      <c r="E32" s="80"/>
      <c r="F32" s="80"/>
      <c r="G32" s="81"/>
      <c r="H32" s="71"/>
      <c r="I32" s="73"/>
    </row>
    <row r="33" spans="1:9" x14ac:dyDescent="0.25">
      <c r="A33" s="47" t="s">
        <v>41</v>
      </c>
      <c r="B33" s="48"/>
      <c r="C33" s="48"/>
      <c r="D33" s="48"/>
      <c r="E33" s="48"/>
      <c r="F33" s="48"/>
      <c r="G33" s="49"/>
      <c r="H33" s="50">
        <f>+'Rate Sheet'!K33</f>
        <v>9875.0052267688588</v>
      </c>
      <c r="I33" s="73"/>
    </row>
    <row r="34" spans="1:9" x14ac:dyDescent="0.25">
      <c r="A34" s="47" t="s">
        <v>95</v>
      </c>
      <c r="B34" s="48"/>
      <c r="C34" s="48"/>
      <c r="D34" s="48"/>
      <c r="E34" s="48"/>
      <c r="F34" s="48"/>
      <c r="G34" s="49"/>
      <c r="H34" s="50">
        <f>+'Rate Sheet'!K34</f>
        <v>1898.9981710339837</v>
      </c>
      <c r="I34" s="73"/>
    </row>
    <row r="35" spans="1:9" x14ac:dyDescent="0.25">
      <c r="A35" s="47" t="s">
        <v>96</v>
      </c>
      <c r="B35" s="48"/>
      <c r="C35" s="48"/>
      <c r="D35" s="48"/>
      <c r="E35" s="48"/>
      <c r="F35" s="48"/>
      <c r="G35" s="49"/>
      <c r="H35" s="50">
        <f>+'Rate Sheet'!K35</f>
        <v>12.841140778154482</v>
      </c>
      <c r="I35" s="73"/>
    </row>
    <row r="36" spans="1:9" x14ac:dyDescent="0.25">
      <c r="A36" s="47" t="s">
        <v>54</v>
      </c>
      <c r="B36" s="48"/>
      <c r="C36" s="48"/>
      <c r="D36" s="48"/>
      <c r="E36" s="48"/>
      <c r="F36" s="48"/>
      <c r="G36" s="49"/>
      <c r="H36" s="50">
        <f>+'Rate Sheet'!K36</f>
        <v>543.98427228898117</v>
      </c>
      <c r="I36" s="73"/>
    </row>
    <row r="37" spans="1:9" x14ac:dyDescent="0.25">
      <c r="A37" s="51" t="s">
        <v>38</v>
      </c>
      <c r="B37" s="52"/>
      <c r="C37" s="52"/>
      <c r="D37" s="52"/>
      <c r="E37" s="52"/>
      <c r="F37" s="52"/>
      <c r="G37" s="53"/>
      <c r="H37" s="74">
        <f>+'Rate Sheet'!K37</f>
        <v>54.719455748352523</v>
      </c>
      <c r="I37" s="54"/>
    </row>
    <row r="38" spans="1:9" x14ac:dyDescent="0.25">
      <c r="A38" s="55"/>
      <c r="B38" s="56"/>
      <c r="C38" s="56"/>
      <c r="D38" s="56"/>
      <c r="E38" s="56"/>
      <c r="F38" s="56"/>
      <c r="G38" s="57"/>
      <c r="H38" s="75"/>
      <c r="I38" s="58">
        <f>SUM(H33:H38)</f>
        <v>12385.548266618331</v>
      </c>
    </row>
    <row r="39" spans="1:9" x14ac:dyDescent="0.25">
      <c r="A39" s="46"/>
      <c r="B39" s="46"/>
      <c r="C39" s="46"/>
      <c r="D39" s="46"/>
      <c r="E39" s="46"/>
      <c r="F39" s="46"/>
      <c r="G39" s="46"/>
      <c r="H39" s="65"/>
      <c r="I39" s="66"/>
    </row>
    <row r="40" spans="1:9" ht="15" customHeight="1" x14ac:dyDescent="0.25">
      <c r="A40" s="76" t="s">
        <v>122</v>
      </c>
      <c r="B40" s="77"/>
      <c r="C40" s="77"/>
      <c r="D40" s="77"/>
      <c r="E40" s="77"/>
      <c r="F40" s="77"/>
      <c r="G40" s="78"/>
      <c r="H40" s="70" t="s">
        <v>88</v>
      </c>
      <c r="I40" s="72" t="s">
        <v>65</v>
      </c>
    </row>
    <row r="41" spans="1:9" x14ac:dyDescent="0.25">
      <c r="A41" s="79"/>
      <c r="B41" s="80"/>
      <c r="C41" s="80"/>
      <c r="D41" s="80"/>
      <c r="E41" s="80"/>
      <c r="F41" s="80"/>
      <c r="G41" s="81"/>
      <c r="H41" s="71"/>
      <c r="I41" s="73"/>
    </row>
    <row r="42" spans="1:9" x14ac:dyDescent="0.25">
      <c r="A42" s="47" t="s">
        <v>41</v>
      </c>
      <c r="B42" s="48"/>
      <c r="C42" s="48"/>
      <c r="D42" s="48"/>
      <c r="E42" s="48"/>
      <c r="F42" s="48"/>
      <c r="G42" s="49"/>
      <c r="H42" s="50">
        <f>+'Rate Sheet'!K42</f>
        <v>9354.0404858299698</v>
      </c>
      <c r="I42" s="73"/>
    </row>
    <row r="43" spans="1:9" x14ac:dyDescent="0.25">
      <c r="A43" s="47" t="s">
        <v>95</v>
      </c>
      <c r="B43" s="52"/>
      <c r="C43" s="52"/>
      <c r="D43" s="52"/>
      <c r="E43" s="52"/>
      <c r="F43" s="52"/>
      <c r="G43" s="53"/>
      <c r="H43" s="50">
        <f>+'Rate Sheet'!K43</f>
        <v>1861.1734354655889</v>
      </c>
      <c r="I43" s="68"/>
    </row>
    <row r="44" spans="1:9" x14ac:dyDescent="0.25">
      <c r="A44" s="51" t="s">
        <v>99</v>
      </c>
      <c r="B44" s="52"/>
      <c r="C44" s="52"/>
      <c r="D44" s="52"/>
      <c r="E44" s="52"/>
      <c r="F44" s="52"/>
      <c r="G44" s="53"/>
      <c r="H44" s="74"/>
      <c r="I44" s="54"/>
    </row>
    <row r="45" spans="1:9" x14ac:dyDescent="0.25">
      <c r="A45" s="55"/>
      <c r="B45" s="56"/>
      <c r="C45" s="56"/>
      <c r="D45" s="56"/>
      <c r="E45" s="56"/>
      <c r="F45" s="56"/>
      <c r="G45" s="57"/>
      <c r="H45" s="75"/>
      <c r="I45" s="58">
        <f>SUM(H40:H44)</f>
        <v>11215.213921295559</v>
      </c>
    </row>
    <row r="47" spans="1:9" ht="15" customHeight="1" x14ac:dyDescent="0.25">
      <c r="A47" s="76" t="s">
        <v>97</v>
      </c>
      <c r="B47" s="77"/>
      <c r="C47" s="77"/>
      <c r="D47" s="77"/>
      <c r="E47" s="77"/>
      <c r="F47" s="77"/>
      <c r="G47" s="78"/>
      <c r="H47" s="70" t="s">
        <v>88</v>
      </c>
      <c r="I47" s="72" t="s">
        <v>65</v>
      </c>
    </row>
    <row r="48" spans="1:9" x14ac:dyDescent="0.25">
      <c r="A48" s="79"/>
      <c r="B48" s="80"/>
      <c r="C48" s="80"/>
      <c r="D48" s="80"/>
      <c r="E48" s="80"/>
      <c r="F48" s="80"/>
      <c r="G48" s="81"/>
      <c r="H48" s="71"/>
      <c r="I48" s="73"/>
    </row>
    <row r="49" spans="1:9" x14ac:dyDescent="0.25">
      <c r="A49" t="s">
        <v>98</v>
      </c>
      <c r="B49" s="48"/>
      <c r="C49" s="48"/>
      <c r="D49" s="48"/>
      <c r="E49" s="48"/>
      <c r="F49" s="48"/>
      <c r="G49" s="49"/>
      <c r="H49" s="50">
        <f>+'Rate Sheet'!K49</f>
        <v>1.0990165530852936</v>
      </c>
      <c r="I49" s="73"/>
    </row>
    <row r="50" spans="1:9" x14ac:dyDescent="0.25">
      <c r="A50" s="51" t="s">
        <v>99</v>
      </c>
      <c r="B50" s="52"/>
      <c r="C50" s="52"/>
      <c r="D50" s="52"/>
      <c r="E50" s="52"/>
      <c r="F50" s="52"/>
      <c r="G50" s="53"/>
      <c r="H50" s="74"/>
      <c r="I50" s="54"/>
    </row>
    <row r="51" spans="1:9" x14ac:dyDescent="0.25">
      <c r="A51" s="55"/>
      <c r="B51" s="56"/>
      <c r="C51" s="56"/>
      <c r="D51" s="56"/>
      <c r="E51" s="56"/>
      <c r="F51" s="56"/>
      <c r="G51" s="57"/>
      <c r="H51" s="75"/>
      <c r="I51" s="58">
        <f>SUM(H47:H50)</f>
        <v>1.0990165530852936</v>
      </c>
    </row>
    <row r="53" spans="1:9" ht="15" customHeight="1" x14ac:dyDescent="0.25">
      <c r="A53" s="76" t="s">
        <v>100</v>
      </c>
      <c r="B53" s="77"/>
      <c r="C53" s="77"/>
      <c r="D53" s="77"/>
      <c r="E53" s="77"/>
      <c r="F53" s="77"/>
      <c r="G53" s="78"/>
      <c r="H53" s="83" t="s">
        <v>88</v>
      </c>
      <c r="I53" s="72" t="s">
        <v>101</v>
      </c>
    </row>
    <row r="54" spans="1:9" x14ac:dyDescent="0.25">
      <c r="A54" s="79"/>
      <c r="B54" s="80"/>
      <c r="C54" s="80"/>
      <c r="D54" s="80"/>
      <c r="E54" s="80"/>
      <c r="F54" s="80"/>
      <c r="G54" s="81"/>
      <c r="H54" s="84"/>
      <c r="I54" s="73"/>
    </row>
    <row r="55" spans="1:9" x14ac:dyDescent="0.25">
      <c r="A55" s="47" t="s">
        <v>67</v>
      </c>
      <c r="B55" s="48"/>
      <c r="C55" s="48"/>
      <c r="D55" s="48"/>
      <c r="E55" s="48"/>
      <c r="F55" s="48"/>
      <c r="G55" s="49"/>
      <c r="H55" s="50">
        <f>+'Rate Sheet'!K55</f>
        <v>2.2326860341460768</v>
      </c>
      <c r="I55" s="73"/>
    </row>
    <row r="56" spans="1:9" x14ac:dyDescent="0.25">
      <c r="A56" s="47" t="s">
        <v>68</v>
      </c>
      <c r="B56" s="48"/>
      <c r="C56" s="48"/>
      <c r="D56" s="48"/>
      <c r="E56" s="48"/>
      <c r="F56" s="48"/>
      <c r="G56" s="49"/>
      <c r="H56" s="50">
        <f>+'Rate Sheet'!K56</f>
        <v>268.38620522792826</v>
      </c>
      <c r="I56" s="73"/>
    </row>
    <row r="57" spans="1:9" x14ac:dyDescent="0.25">
      <c r="A57" s="47" t="s">
        <v>102</v>
      </c>
      <c r="B57" s="48"/>
      <c r="C57" s="48"/>
      <c r="D57" s="48"/>
      <c r="E57" s="48"/>
      <c r="F57" s="48"/>
      <c r="G57" s="49"/>
      <c r="H57" s="50">
        <f>+'Rate Sheet'!K57</f>
        <v>44.041177350495516</v>
      </c>
      <c r="I57" s="73"/>
    </row>
    <row r="58" spans="1:9" x14ac:dyDescent="0.25">
      <c r="A58" s="47" t="s">
        <v>103</v>
      </c>
      <c r="B58" s="48"/>
      <c r="C58" s="48"/>
      <c r="D58" s="48"/>
      <c r="E58" s="48"/>
      <c r="F58" s="48"/>
      <c r="G58" s="49"/>
      <c r="H58" s="50">
        <f>+'Rate Sheet'!K58</f>
        <v>49.468724226351235</v>
      </c>
      <c r="I58" s="73"/>
    </row>
    <row r="59" spans="1:9" x14ac:dyDescent="0.25">
      <c r="A59" s="47" t="s">
        <v>104</v>
      </c>
      <c r="B59" s="48"/>
      <c r="C59" s="48"/>
      <c r="D59" s="48"/>
      <c r="E59" s="48"/>
      <c r="F59" s="48"/>
      <c r="G59" s="49"/>
      <c r="H59" s="50">
        <f>+'Rate Sheet'!K59</f>
        <v>21.820765530362745</v>
      </c>
      <c r="I59" s="73"/>
    </row>
    <row r="60" spans="1:9" x14ac:dyDescent="0.25">
      <c r="A60" s="47" t="s">
        <v>75</v>
      </c>
      <c r="B60" s="48"/>
      <c r="C60" s="48"/>
      <c r="D60" s="48"/>
      <c r="E60" s="48"/>
      <c r="F60" s="48"/>
      <c r="G60" s="49"/>
      <c r="H60" s="50">
        <f>+'Rate Sheet'!K60</f>
        <v>76.270592149198492</v>
      </c>
      <c r="I60" s="82"/>
    </row>
    <row r="61" spans="1:9" x14ac:dyDescent="0.25">
      <c r="A61" s="51" t="s">
        <v>91</v>
      </c>
      <c r="B61" s="52"/>
      <c r="C61" s="52"/>
      <c r="D61" s="52"/>
      <c r="E61" s="52"/>
      <c r="F61" s="52"/>
      <c r="G61" s="53"/>
      <c r="H61" s="74">
        <f>+'Rate Sheet'!K61</f>
        <v>26.34670368096219</v>
      </c>
      <c r="I61" s="85">
        <f>SUM(H55:H62)</f>
        <v>488.56685419944449</v>
      </c>
    </row>
    <row r="62" spans="1:9" x14ac:dyDescent="0.25">
      <c r="A62" s="55"/>
      <c r="B62" s="56"/>
      <c r="C62" s="56"/>
      <c r="D62" s="56"/>
      <c r="E62" s="56"/>
      <c r="F62" s="56"/>
      <c r="G62" s="57"/>
      <c r="H62" s="75"/>
      <c r="I62" s="86"/>
    </row>
    <row r="63" spans="1:9" x14ac:dyDescent="0.25">
      <c r="H63" s="52"/>
      <c r="I63" s="53"/>
    </row>
    <row r="64" spans="1:9" x14ac:dyDescent="0.25">
      <c r="H64" s="59">
        <f>I64/30.4166666667</f>
        <v>842.00121101417392</v>
      </c>
      <c r="I64" s="59">
        <f>I18+I29+I51+I38+I61+I45</f>
        <v>25610.870168375855</v>
      </c>
    </row>
    <row r="65" spans="8:9" x14ac:dyDescent="0.25">
      <c r="H65" s="60" t="s">
        <v>105</v>
      </c>
      <c r="I65" s="60" t="s">
        <v>106</v>
      </c>
    </row>
  </sheetData>
  <mergeCells count="25">
    <mergeCell ref="A40:G41"/>
    <mergeCell ref="H40:H41"/>
    <mergeCell ref="I40:I42"/>
    <mergeCell ref="A9:G10"/>
    <mergeCell ref="H9:H10"/>
    <mergeCell ref="I9:I16"/>
    <mergeCell ref="H17:H18"/>
    <mergeCell ref="A20:G21"/>
    <mergeCell ref="H20:H21"/>
    <mergeCell ref="I20:I27"/>
    <mergeCell ref="H28:H29"/>
    <mergeCell ref="A31:G32"/>
    <mergeCell ref="H31:H32"/>
    <mergeCell ref="I31:I36"/>
    <mergeCell ref="H37:H38"/>
    <mergeCell ref="H61:H62"/>
    <mergeCell ref="I61:I62"/>
    <mergeCell ref="H44:H45"/>
    <mergeCell ref="A47:G48"/>
    <mergeCell ref="H47:H48"/>
    <mergeCell ref="I47:I49"/>
    <mergeCell ref="H50:H51"/>
    <mergeCell ref="A53:G54"/>
    <mergeCell ref="H53:H54"/>
    <mergeCell ref="I53:I60"/>
  </mergeCells>
  <pageMargins left="0.25" right="0.2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79FE812D23A341A21DE942F3EC0502" ma:contentTypeVersion="9" ma:contentTypeDescription="Create a new document." ma:contentTypeScope="" ma:versionID="8076c1157928fd85ccb335bad339d32a">
  <xsd:schema xmlns:xsd="http://www.w3.org/2001/XMLSchema" xmlns:xs="http://www.w3.org/2001/XMLSchema" xmlns:p="http://schemas.microsoft.com/office/2006/metadata/properties" xmlns:ns2="9f9f6fb2-1427-4e1a-b3d2-c93457da2867" xmlns:ns3="8686c277-7c0e-4fc5-9ec4-de979bd25ecd" targetNamespace="http://schemas.microsoft.com/office/2006/metadata/properties" ma:root="true" ma:fieldsID="547111bb9c5ca90d6c33c61bcd81b814" ns2:_="" ns3:_="">
    <xsd:import namespace="9f9f6fb2-1427-4e1a-b3d2-c93457da2867"/>
    <xsd:import namespace="8686c277-7c0e-4fc5-9ec4-de979bd25e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f6fb2-1427-4e1a-b3d2-c93457da28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6c277-7c0e-4fc5-9ec4-de979bd25ec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9AD99D-0E59-4D35-B8D5-D65F0DB5C189}"/>
</file>

<file path=customXml/itemProps2.xml><?xml version="1.0" encoding="utf-8"?>
<ds:datastoreItem xmlns:ds="http://schemas.openxmlformats.org/officeDocument/2006/customXml" ds:itemID="{78BE8C70-2594-4AC5-AF44-A4D630415490}"/>
</file>

<file path=customXml/itemProps3.xml><?xml version="1.0" encoding="utf-8"?>
<ds:datastoreItem xmlns:ds="http://schemas.openxmlformats.org/officeDocument/2006/customXml" ds:itemID="{E88662C3-FBF9-4714-AD04-40F019B1C0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NIA</vt:lpstr>
      <vt:lpstr>Rate Sheet</vt:lpstr>
      <vt:lpstr>Rate Sheet.</vt:lpstr>
      <vt:lpstr>'Rate Sheet'!Print_Area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 Gabler</dc:creator>
  <cp:lastModifiedBy>Amanda Heitzman</cp:lastModifiedBy>
  <cp:lastPrinted>2019-12-05T17:28:02Z</cp:lastPrinted>
  <dcterms:created xsi:type="dcterms:W3CDTF">2017-06-29T16:31:28Z</dcterms:created>
  <dcterms:modified xsi:type="dcterms:W3CDTF">2019-12-05T20:19:36Z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0x0101001579FE812D23A341A21DE942F3EC0502</vt:lpwstr>
  </property>
</Properties>
</file>